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Для сайта\Потенциал\"/>
    </mc:Choice>
  </mc:AlternateContent>
  <bookViews>
    <workbookView xWindow="0" yWindow="0" windowWidth="19170" windowHeight="11520"/>
  </bookViews>
  <sheets>
    <sheet name="27 У фонтана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C23" i="1"/>
  <c r="O23" i="1" s="1"/>
  <c r="C24" i="1"/>
  <c r="O24" i="1" s="1"/>
  <c r="C25" i="1"/>
  <c r="O25" i="1" s="1"/>
  <c r="J27" i="1"/>
  <c r="O27" i="1" s="1"/>
  <c r="O29" i="1"/>
  <c r="O30" i="1"/>
  <c r="O34" i="1"/>
  <c r="M33" i="1" s="1"/>
  <c r="O35" i="1"/>
  <c r="O36" i="1"/>
  <c r="O37" i="1"/>
  <c r="O39" i="1"/>
  <c r="O40" i="1"/>
  <c r="O42" i="1"/>
  <c r="E43" i="1"/>
  <c r="O43" i="1" s="1"/>
  <c r="M41" i="1" s="1"/>
  <c r="O44" i="1"/>
  <c r="M46" i="1"/>
  <c r="M66" i="1"/>
  <c r="M76" i="1"/>
  <c r="M78" i="1"/>
  <c r="L89" i="1"/>
  <c r="L90" i="1" s="1"/>
  <c r="O22" i="1" l="1"/>
  <c r="O28" i="1" l="1"/>
  <c r="M21" i="1" s="1"/>
  <c r="M80" i="1" s="1"/>
  <c r="M82" i="1" l="1"/>
  <c r="M84" i="1" s="1"/>
</calcChain>
</file>

<file path=xl/sharedStrings.xml><?xml version="1.0" encoding="utf-8"?>
<sst xmlns="http://schemas.openxmlformats.org/spreadsheetml/2006/main" count="158" uniqueCount="98">
  <si>
    <t>Шигапов Ю.М.</t>
  </si>
  <si>
    <t>Хренов Д.В.</t>
  </si>
  <si>
    <t>Председатель  ТСЖ  "У фонтана"</t>
  </si>
  <si>
    <t>Директор  ООО «Потенциал»</t>
  </si>
  <si>
    <t>руб.</t>
  </si>
  <si>
    <t>Итого:</t>
  </si>
  <si>
    <t>ОДН</t>
  </si>
  <si>
    <t>Начислено по содержанию  жилья:</t>
  </si>
  <si>
    <t>Доходы:</t>
  </si>
  <si>
    <t>тыс. руб.</t>
  </si>
  <si>
    <t>Всего  расходов:</t>
  </si>
  <si>
    <t>Рентабельность</t>
  </si>
  <si>
    <t>Расходы по ОДН (ГВС,ХВС, эл.эн.)</t>
  </si>
  <si>
    <t>IX.</t>
  </si>
  <si>
    <t>Внеэксплуатационные расходы (налоги):</t>
  </si>
  <si>
    <t>VIII.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</si>
  <si>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</si>
  <si>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</si>
  <si>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</si>
  <si>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</si>
  <si>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</si>
  <si>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</si>
  <si>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</si>
  <si>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</si>
  <si>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</si>
  <si>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</si>
  <si>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</si>
  <si>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</si>
  <si>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</si>
  <si>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</si>
  <si>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</si>
  <si>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</si>
  <si>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</si>
  <si>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</si>
  <si>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</si>
  <si>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VI.</t>
  </si>
  <si>
    <t>Отчисления в ТСЖ на уставную деятельность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</si>
  <si>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</si>
  <si>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</si>
  <si>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</si>
  <si>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</si>
  <si>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</si>
  <si>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</si>
  <si>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</si>
  <si>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</si>
  <si>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</si>
  <si>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</si>
  <si>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</si>
  <si>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</si>
  <si>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</si>
  <si>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</si>
  <si>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(8 лифтов)</t>
  </si>
  <si>
    <t xml:space="preserve">Содержание и ремонт лифтового хозяйства:  </t>
  </si>
  <si>
    <t>III.</t>
  </si>
  <si>
    <t>Тех.диагн.внутрид.газового обор.</t>
  </si>
  <si>
    <t>Проверка вент.каналов</t>
  </si>
  <si>
    <t>Рязаньгоргаз</t>
  </si>
  <si>
    <t>услуга АРС (Аварийно-ремонтной службы)</t>
  </si>
  <si>
    <t>дератизация, дезинсекция</t>
  </si>
  <si>
    <t>захоронение  ТБО</t>
  </si>
  <si>
    <t>вывоз ТБО</t>
  </si>
  <si>
    <t>Содержание  домохозяйства:       всего:</t>
  </si>
  <si>
    <t>II.</t>
  </si>
  <si>
    <t>Затраты на вывоз КГМ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</si>
  <si>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</si>
  <si>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</si>
  <si>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</si>
  <si>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</si>
  <si>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руб. х</t>
  </si>
  <si>
    <t xml:space="preserve">Доплата за уборку кабинок лифта </t>
  </si>
  <si>
    <t>Доплата за погрузку мусора</t>
  </si>
  <si>
    <t xml:space="preserve">ед. </t>
  </si>
  <si>
    <t>мусоропр.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</si>
  <si>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</si>
  <si>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</si>
  <si>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</si>
  <si>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</si>
  <si>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</si>
  <si>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</si>
  <si>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>по 9 эт.</t>
  </si>
  <si>
    <t xml:space="preserve">Кол-во  лифтов:               </t>
  </si>
  <si>
    <t>Кол-во  подъездов:</t>
  </si>
  <si>
    <t>Кол-во  проживающих:</t>
  </si>
  <si>
    <t>Кол-во мусоропр.: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</si>
  <si>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</si>
  <si>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</si>
  <si>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</si>
  <si>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</si>
  <si>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</si>
  <si>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</si>
  <si>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</si>
  <si>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</si>
  <si>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</si>
  <si>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</si>
  <si>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01.11.2018 года</t>
  </si>
  <si>
    <t>расходов на содержание жилья  ТСЖ  "У фонтана",  ул. Зубковой д. 27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</si>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</sst>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i/>
      <sz val="11"/>
      <name val="Arial"/>
      <family val="2"/>
      <charset val="204"/>
    </font>
    <font>
      <b/>
      <sz val="11"/>
      <name val="BernhardFashion BT"/>
      <family val="5"/>
    </font>
    <font>
      <sz val="11"/>
      <name val="BernhardFashion BT"/>
      <family val="5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49" fontId="0" fillId="0" borderId="0" xfId="0" applyNumberFormat="1"/>
    <xf numFmtId="49" fontId="2" fillId="0" borderId="0" xfId="0" applyNumberFormat="1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4" fontId="8" fillId="0" borderId="0" xfId="0" applyNumberFormat="1" applyFont="1" applyAlignment="1">
      <alignment horizontal="right"/>
    </xf>
    <xf numFmtId="2" fontId="2" fillId="0" borderId="0" xfId="0" applyNumberFormat="1" applyFont="1"/>
    <xf numFmtId="0" fontId="8" fillId="0" borderId="1" xfId="0" applyFont="1" applyBorder="1"/>
    <xf numFmtId="0" fontId="9" fillId="0" borderId="2" xfId="0" applyFont="1" applyBorder="1"/>
    <xf numFmtId="0" fontId="8" fillId="0" borderId="2" xfId="0" applyFont="1" applyBorder="1"/>
    <xf numFmtId="2" fontId="8" fillId="0" borderId="3" xfId="0" applyNumberFormat="1" applyFont="1" applyBorder="1"/>
    <xf numFmtId="0" fontId="8" fillId="0" borderId="0" xfId="0" applyFont="1" applyBorder="1"/>
    <xf numFmtId="2" fontId="8" fillId="0" borderId="0" xfId="0" applyNumberFormat="1" applyFont="1" applyBorder="1"/>
    <xf numFmtId="0" fontId="2" fillId="0" borderId="0" xfId="0" applyFont="1" applyBorder="1"/>
    <xf numFmtId="0" fontId="2" fillId="0" borderId="4" xfId="0" applyFont="1" applyBorder="1"/>
    <xf numFmtId="0" fontId="8" fillId="0" borderId="4" xfId="0" applyFont="1" applyBorder="1"/>
    <xf numFmtId="0" fontId="1" fillId="0" borderId="0" xfId="0" applyFont="1"/>
    <xf numFmtId="164" fontId="1" fillId="0" borderId="0" xfId="0" applyNumberFormat="1" applyFont="1"/>
    <xf numFmtId="0" fontId="9" fillId="0" borderId="4" xfId="0" applyFont="1" applyBorder="1"/>
    <xf numFmtId="0" fontId="9" fillId="0" borderId="0" xfId="0" applyFont="1" applyAlignment="1">
      <alignment horizontal="right"/>
    </xf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5" fillId="0" borderId="0" xfId="0" applyFont="1" applyBorder="1"/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Border="1"/>
    <xf numFmtId="0" fontId="13" fillId="0" borderId="0" xfId="0" applyFont="1"/>
    <xf numFmtId="2" fontId="8" fillId="0" borderId="4" xfId="0" applyNumberFormat="1" applyFont="1" applyBorder="1"/>
    <xf numFmtId="0" fontId="9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Border="1"/>
    <xf numFmtId="164" fontId="10" fillId="0" borderId="0" xfId="0" applyNumberFormat="1" applyFont="1" applyBorder="1"/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14" fillId="0" borderId="0" xfId="0" applyFont="1"/>
    <xf numFmtId="1" fontId="2" fillId="0" borderId="0" xfId="0" applyNumberFormat="1" applyFont="1" applyBorder="1"/>
    <xf numFmtId="1" fontId="9" fillId="0" borderId="0" xfId="0" applyNumberFormat="1" applyFont="1"/>
    <xf numFmtId="1" fontId="9" fillId="0" borderId="0" xfId="0" applyNumberFormat="1" applyFont="1" applyBorder="1"/>
    <xf numFmtId="0" fontId="9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0" applyFont="1"/>
    <xf numFmtId="0" fontId="15" fillId="0" borderId="0" xfId="0" applyFont="1"/>
    <xf numFmtId="0" fontId="5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1"/>
  <sheetViews>
    <sheetView tabSelected="1" workbookViewId="0">
      <selection activeCell="R1" sqref="R1:U65536"/>
    </sheetView>
  </sheetViews>
  <sheetFormatPr defaultRowHeight="14.25"/>
  <cols>
    <col min="1" max="1" width="4.140625" style="1" customWidth="1"/>
    <col min="2" max="2" width="11" style="1" customWidth="1"/>
    <col min="3" max="3" width="6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140625" style="1" customWidth="1"/>
    <col min="13" max="13" width="9.7109375" style="1" customWidth="1"/>
    <col min="14" max="14" width="1.85546875" style="1" customWidth="1"/>
    <col min="15" max="15" width="8.42578125" style="1" customWidth="1"/>
    <col min="16" max="16" width="4.7109375" style="1" customWidth="1"/>
    <col min="17" max="17" width="1.5703125" style="1" customWidth="1"/>
    <col min="18" max="18" width="9.140625" style="1"/>
  </cols>
  <sheetData>
    <row r="1" spans="1:18">
      <c r="M1" s="59" t="s">
        <v>97</v>
      </c>
      <c r="N1" s="59"/>
      <c r="O1" s="59"/>
    </row>
    <row r="2" spans="1:18" ht="18">
      <c r="G2" s="58" t="s">
        <v>96</v>
      </c>
    </row>
    <row r="3" spans="1:18" ht="15">
      <c r="A3" s="6"/>
      <c r="B3" s="57" t="s">
        <v>95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6"/>
      <c r="O3" s="6"/>
      <c r="P3" s="6"/>
      <c r="Q3" s="6"/>
      <c r="R3" s="6"/>
    </row>
    <row r="4" spans="1:18" ht="15">
      <c r="A4" s="6"/>
      <c r="B4" s="6"/>
      <c r="C4" s="57" t="s">
        <v>94</v>
      </c>
      <c r="D4" s="57"/>
      <c r="E4" s="57"/>
      <c r="F4" s="57"/>
      <c r="G4" s="57"/>
      <c r="H4" s="57"/>
      <c r="I4" s="57"/>
      <c r="J4" s="57"/>
      <c r="K4" s="57"/>
      <c r="L4" s="57"/>
      <c r="M4" s="6"/>
      <c r="N4" s="6"/>
      <c r="O4" s="6"/>
      <c r="P4" s="6"/>
      <c r="Q4" s="6"/>
      <c r="R4" s="6"/>
    </row>
    <row r="5" spans="1:18" ht="15" customHeight="1"/>
    <row r="6" spans="1:18" ht="15" customHeight="1">
      <c r="A6" s="1" t="s">
        <v>93</v>
      </c>
      <c r="C6" s="1" t="s">
        <v>92</v>
      </c>
      <c r="G6" s="54">
        <v>17459.7</v>
      </c>
      <c r="H6" s="54"/>
      <c r="I6" s="1" t="s">
        <v>86</v>
      </c>
    </row>
    <row r="7" spans="1:18" ht="15" customHeight="1">
      <c r="A7" s="1" t="s">
        <v>91</v>
      </c>
      <c r="G7" s="54">
        <v>2127.58</v>
      </c>
      <c r="H7" s="54"/>
      <c r="I7" s="1" t="s">
        <v>86</v>
      </c>
    </row>
    <row r="8" spans="1:18" ht="15" customHeight="1">
      <c r="A8" s="1" t="s">
        <v>90</v>
      </c>
      <c r="G8" s="54">
        <v>2438.5</v>
      </c>
      <c r="H8" s="54"/>
      <c r="I8" s="1" t="s">
        <v>86</v>
      </c>
    </row>
    <row r="9" spans="1:18" ht="15" customHeight="1">
      <c r="A9" s="1" t="s">
        <v>89</v>
      </c>
      <c r="G9" s="54">
        <v>2104.38</v>
      </c>
      <c r="H9" s="54"/>
      <c r="I9" s="1" t="s">
        <v>86</v>
      </c>
    </row>
    <row r="10" spans="1:18" ht="15" customHeight="1">
      <c r="A10" s="1" t="s">
        <v>88</v>
      </c>
      <c r="G10" s="54">
        <v>16129.02</v>
      </c>
      <c r="H10" s="54"/>
      <c r="I10" s="1" t="s">
        <v>86</v>
      </c>
    </row>
    <row r="11" spans="1:18" ht="15" customHeight="1">
      <c r="B11" s="1" t="s">
        <v>87</v>
      </c>
      <c r="G11" s="54">
        <v>4300</v>
      </c>
      <c r="H11" s="54"/>
      <c r="I11" s="1" t="s">
        <v>86</v>
      </c>
    </row>
    <row r="12" spans="1:18" ht="15" customHeight="1">
      <c r="A12" s="1" t="s">
        <v>85</v>
      </c>
      <c r="G12" s="54">
        <v>1.72</v>
      </c>
      <c r="H12" s="54"/>
      <c r="I12" s="53"/>
    </row>
    <row r="13" spans="1:18" ht="15" customHeight="1">
      <c r="A13" s="1" t="s">
        <v>84</v>
      </c>
      <c r="G13" s="54">
        <f>2/2/2</f>
        <v>0.5</v>
      </c>
      <c r="H13" s="54"/>
      <c r="I13" s="53"/>
    </row>
    <row r="14" spans="1:18" ht="15" customHeight="1">
      <c r="A14" s="1" t="s">
        <v>83</v>
      </c>
      <c r="G14" s="54">
        <v>0.52</v>
      </c>
      <c r="H14" s="54"/>
      <c r="I14" s="53"/>
    </row>
    <row r="15" spans="1:18" ht="15" customHeight="1">
      <c r="A15" s="1" t="s">
        <v>82</v>
      </c>
      <c r="G15" s="54">
        <v>779</v>
      </c>
      <c r="H15" s="54"/>
      <c r="I15" s="53"/>
    </row>
    <row r="16" spans="1:18" ht="15" customHeight="1">
      <c r="A16" s="1" t="s">
        <v>81</v>
      </c>
      <c r="G16" s="53"/>
      <c r="H16" s="47">
        <v>8</v>
      </c>
      <c r="I16" s="53"/>
    </row>
    <row r="17" spans="1:18" ht="15" customHeight="1">
      <c r="A17" s="1" t="s">
        <v>80</v>
      </c>
      <c r="G17" s="53"/>
      <c r="H17" s="47">
        <v>8</v>
      </c>
      <c r="I17" s="47" t="s">
        <v>79</v>
      </c>
    </row>
    <row r="18" spans="1:18" ht="15" customHeight="1">
      <c r="G18" s="53"/>
      <c r="H18" s="47"/>
      <c r="I18" s="47"/>
    </row>
    <row r="19" spans="1:18" ht="15" customHeight="1">
      <c r="B19" s="56" t="s">
        <v>78</v>
      </c>
      <c r="G19" s="53"/>
      <c r="H19" s="47"/>
      <c r="I19" s="47"/>
    </row>
    <row r="20" spans="1:18" ht="15" customHeight="1"/>
    <row r="21" spans="1:18" ht="15" customHeight="1">
      <c r="A21" s="27" t="s">
        <v>77</v>
      </c>
      <c r="B21" s="10" t="s">
        <v>76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39">
        <f>ROUND((O22+O28+O29+O30+O31)/1000,2)</f>
        <v>62.34</v>
      </c>
      <c r="N21" s="23"/>
      <c r="O21" s="23" t="s">
        <v>9</v>
      </c>
      <c r="P21" s="26"/>
      <c r="Q21" s="10"/>
      <c r="R21" s="10"/>
    </row>
    <row r="22" spans="1:18" ht="15" customHeight="1">
      <c r="B22" s="55" t="s">
        <v>75</v>
      </c>
      <c r="M22" s="28"/>
      <c r="O22" s="50">
        <f>SUM(O23:O27)</f>
        <v>43497</v>
      </c>
      <c r="P22" s="10" t="s">
        <v>4</v>
      </c>
    </row>
    <row r="23" spans="1:18" ht="15" customHeight="1">
      <c r="A23" s="48" t="s">
        <v>39</v>
      </c>
      <c r="B23" s="1" t="s">
        <v>74</v>
      </c>
      <c r="C23" s="1">
        <f>G12*1</f>
        <v>1.72</v>
      </c>
      <c r="D23" s="1" t="s">
        <v>71</v>
      </c>
      <c r="E23" s="54"/>
      <c r="F23" s="54"/>
      <c r="I23" s="24"/>
      <c r="K23" s="24"/>
      <c r="M23" s="25"/>
      <c r="N23" s="24"/>
      <c r="O23" s="46">
        <f>ROUND(C23*7480*1.75*1.07,0)</f>
        <v>24091</v>
      </c>
      <c r="P23" s="1" t="s">
        <v>4</v>
      </c>
    </row>
    <row r="24" spans="1:18" ht="15" customHeight="1">
      <c r="A24" s="48" t="s">
        <v>39</v>
      </c>
      <c r="B24" s="1" t="s">
        <v>73</v>
      </c>
      <c r="C24" s="1">
        <f>G13*1</f>
        <v>0.5</v>
      </c>
      <c r="D24" s="1" t="s">
        <v>71</v>
      </c>
      <c r="E24" s="54"/>
      <c r="F24" s="54"/>
      <c r="I24" s="24"/>
      <c r="K24" s="24"/>
      <c r="M24" s="25"/>
      <c r="N24" s="24"/>
      <c r="O24" s="46">
        <f>ROUND(C24*12120*1.55*1.07,0)</f>
        <v>10051</v>
      </c>
      <c r="P24" s="1" t="s">
        <v>4</v>
      </c>
    </row>
    <row r="25" spans="1:18" ht="15" customHeight="1">
      <c r="A25" s="48" t="s">
        <v>39</v>
      </c>
      <c r="B25" s="1" t="s">
        <v>72</v>
      </c>
      <c r="C25" s="14">
        <f>G14*1</f>
        <v>0.52</v>
      </c>
      <c r="D25" s="1" t="s">
        <v>71</v>
      </c>
      <c r="M25" s="28"/>
      <c r="O25" s="46">
        <f>ROUND(C25*8970*1.6*1.07,0)</f>
        <v>7985</v>
      </c>
      <c r="P25" s="1" t="s">
        <v>4</v>
      </c>
    </row>
    <row r="26" spans="1:18" ht="15" customHeight="1">
      <c r="A26" s="48"/>
      <c r="B26" s="1" t="s">
        <v>70</v>
      </c>
      <c r="E26" s="53"/>
      <c r="F26" s="53"/>
      <c r="I26" s="24"/>
      <c r="K26" s="24"/>
      <c r="M26" s="25"/>
      <c r="N26" s="24"/>
      <c r="O26" s="46">
        <v>970</v>
      </c>
      <c r="P26" s="1" t="s">
        <v>4</v>
      </c>
    </row>
    <row r="27" spans="1:18" ht="14.25" customHeight="1">
      <c r="A27" s="48"/>
      <c r="B27" s="1" t="s">
        <v>69</v>
      </c>
      <c r="E27" s="53"/>
      <c r="F27" s="53"/>
      <c r="H27" s="1">
        <v>50</v>
      </c>
      <c r="I27" s="24" t="s">
        <v>68</v>
      </c>
      <c r="J27" s="1">
        <f>H17</f>
        <v>8</v>
      </c>
      <c r="K27" s="24"/>
      <c r="M27" s="25"/>
      <c r="N27" s="24"/>
      <c r="O27" s="46">
        <f>H27*J27</f>
        <v>400</v>
      </c>
      <c r="P27" s="1" t="s">
        <v>4</v>
      </c>
    </row>
    <row r="28" spans="1:18" ht="15" customHeight="1">
      <c r="B28" s="1" t="s">
        <v>67</v>
      </c>
      <c r="G28" s="1">
        <v>30.28</v>
      </c>
      <c r="H28" s="1" t="s">
        <v>66</v>
      </c>
      <c r="M28" s="28"/>
      <c r="O28" s="10">
        <f>ROUND(O22*G28/100,0)</f>
        <v>13171</v>
      </c>
      <c r="P28" s="10" t="s">
        <v>4</v>
      </c>
    </row>
    <row r="29" spans="1:18" ht="15" customHeight="1">
      <c r="B29" s="1" t="s">
        <v>65</v>
      </c>
      <c r="M29" s="28"/>
      <c r="O29" s="52">
        <f>ROUND(4000/68387.6*G6,0)</f>
        <v>1021</v>
      </c>
      <c r="P29" s="52" t="s">
        <v>4</v>
      </c>
    </row>
    <row r="30" spans="1:18" ht="15" customHeight="1">
      <c r="B30" s="1" t="s">
        <v>64</v>
      </c>
      <c r="M30" s="28"/>
      <c r="O30" s="52">
        <f>ROUND(1000/68387.6*G6,0)</f>
        <v>255</v>
      </c>
      <c r="P30" s="52" t="s">
        <v>4</v>
      </c>
    </row>
    <row r="31" spans="1:18" ht="15" customHeight="1">
      <c r="A31" s="48"/>
      <c r="B31" s="1" t="s">
        <v>63</v>
      </c>
      <c r="M31" s="28"/>
      <c r="O31" s="50">
        <v>4400</v>
      </c>
      <c r="P31" s="10" t="s">
        <v>4</v>
      </c>
    </row>
    <row r="32" spans="1:18" ht="15" customHeight="1">
      <c r="A32" s="48"/>
      <c r="M32" s="28"/>
      <c r="O32" s="50"/>
      <c r="P32" s="10"/>
    </row>
    <row r="33" spans="1:18" ht="15" customHeight="1">
      <c r="A33" s="27" t="s">
        <v>62</v>
      </c>
      <c r="B33" s="10" t="s">
        <v>61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39">
        <f>ROUND((O34+O35+O36+O37+O38+O39+O40)/1000,2)</f>
        <v>45.12</v>
      </c>
      <c r="N33" s="23"/>
      <c r="O33" s="23" t="s">
        <v>9</v>
      </c>
      <c r="P33" s="26"/>
      <c r="Q33" s="10"/>
      <c r="R33" s="10"/>
    </row>
    <row r="34" spans="1:18" ht="15" customHeight="1">
      <c r="A34" s="48" t="s">
        <v>39</v>
      </c>
      <c r="B34" s="1" t="s">
        <v>60</v>
      </c>
      <c r="M34" s="28"/>
      <c r="O34" s="51">
        <f>ROUND(G15*1.5*137/12,0)</f>
        <v>13340</v>
      </c>
      <c r="P34" s="10" t="s">
        <v>4</v>
      </c>
    </row>
    <row r="35" spans="1:18" ht="15" customHeight="1">
      <c r="A35" s="48" t="s">
        <v>39</v>
      </c>
      <c r="B35" s="1" t="s">
        <v>59</v>
      </c>
      <c r="M35" s="28"/>
      <c r="O35" s="50">
        <f>ROUND(G15*1.5*144/12,0)</f>
        <v>14022</v>
      </c>
      <c r="P35" s="10" t="s">
        <v>4</v>
      </c>
      <c r="R35" s="46"/>
    </row>
    <row r="36" spans="1:18" ht="15" customHeight="1">
      <c r="A36" s="48" t="s">
        <v>39</v>
      </c>
      <c r="B36" s="1" t="s">
        <v>58</v>
      </c>
      <c r="M36" s="28"/>
      <c r="O36" s="50">
        <f>ROUND(3494.4*1.83/12,0)</f>
        <v>533</v>
      </c>
      <c r="P36" s="10" t="s">
        <v>4</v>
      </c>
    </row>
    <row r="37" spans="1:18" ht="15" customHeight="1">
      <c r="A37" s="48" t="s">
        <v>39</v>
      </c>
      <c r="B37" s="1" t="s">
        <v>57</v>
      </c>
      <c r="M37" s="28"/>
      <c r="O37" s="37">
        <f>ROUND(85000/287037.9*G6,0)</f>
        <v>5170</v>
      </c>
      <c r="P37" s="10" t="s">
        <v>4</v>
      </c>
    </row>
    <row r="38" spans="1:18" ht="15" customHeight="1">
      <c r="A38" s="48" t="s">
        <v>39</v>
      </c>
      <c r="B38" s="1" t="s">
        <v>56</v>
      </c>
      <c r="M38" s="28"/>
      <c r="O38" s="50">
        <v>6758</v>
      </c>
      <c r="P38" s="10" t="s">
        <v>4</v>
      </c>
    </row>
    <row r="39" spans="1:18" ht="15" customHeight="1">
      <c r="A39" s="48" t="s">
        <v>39</v>
      </c>
      <c r="B39" s="1" t="s">
        <v>55</v>
      </c>
      <c r="M39" s="28"/>
      <c r="O39" s="50">
        <f>306*18.81/12</f>
        <v>479.65499999999997</v>
      </c>
      <c r="P39" s="10" t="s">
        <v>4</v>
      </c>
    </row>
    <row r="40" spans="1:18" ht="15" customHeight="1">
      <c r="A40" s="48" t="s">
        <v>39</v>
      </c>
      <c r="B40" s="1" t="s">
        <v>54</v>
      </c>
      <c r="M40" s="28"/>
      <c r="O40" s="50">
        <f>306*188.91/12</f>
        <v>4817.2049999999999</v>
      </c>
      <c r="P40" s="10" t="s">
        <v>4</v>
      </c>
    </row>
    <row r="41" spans="1:18" ht="15" customHeight="1">
      <c r="A41" s="27" t="s">
        <v>53</v>
      </c>
      <c r="B41" s="10" t="s">
        <v>52</v>
      </c>
      <c r="C41" s="10"/>
      <c r="D41" s="10"/>
      <c r="E41" s="10"/>
      <c r="F41" s="10"/>
      <c r="G41" s="10"/>
      <c r="H41" s="10"/>
      <c r="I41" s="10"/>
      <c r="J41" s="10" t="s">
        <v>33</v>
      </c>
      <c r="K41" s="10"/>
      <c r="L41" s="10"/>
      <c r="M41" s="39">
        <f>ROUND((O42+O43+O44)/1000,2)</f>
        <v>41.39</v>
      </c>
      <c r="N41" s="23"/>
      <c r="O41" s="23" t="s">
        <v>9</v>
      </c>
      <c r="P41" s="26"/>
      <c r="Q41" s="10"/>
      <c r="R41" s="10"/>
    </row>
    <row r="42" spans="1:18" ht="15" customHeight="1">
      <c r="A42" s="48" t="s">
        <v>39</v>
      </c>
      <c r="B42" s="1" t="s">
        <v>51</v>
      </c>
      <c r="M42" s="28"/>
      <c r="O42" s="49">
        <f>ROUND(H17*4786.55,2)</f>
        <v>38292.400000000001</v>
      </c>
      <c r="P42" s="1" t="s">
        <v>4</v>
      </c>
    </row>
    <row r="43" spans="1:18" ht="15" customHeight="1">
      <c r="A43" s="48" t="s">
        <v>39</v>
      </c>
      <c r="B43" s="1" t="s">
        <v>50</v>
      </c>
      <c r="E43" s="47">
        <f>H17*1</f>
        <v>8</v>
      </c>
      <c r="F43" s="1" t="s">
        <v>49</v>
      </c>
      <c r="H43" s="1" t="s">
        <v>48</v>
      </c>
      <c r="M43" s="28"/>
      <c r="O43" s="46">
        <f>ROUND(E43*4271/12,0)</f>
        <v>2847</v>
      </c>
      <c r="P43" s="1" t="s">
        <v>4</v>
      </c>
    </row>
    <row r="44" spans="1:18" ht="15" customHeight="1">
      <c r="A44" s="48" t="s">
        <v>39</v>
      </c>
      <c r="B44" s="1" t="s">
        <v>47</v>
      </c>
      <c r="F44" s="47"/>
      <c r="M44" s="28"/>
      <c r="O44" s="46">
        <f>ROUND(9000/12/3,0)</f>
        <v>250</v>
      </c>
      <c r="P44" s="1" t="s">
        <v>4</v>
      </c>
    </row>
    <row r="45" spans="1:18" ht="15" customHeight="1">
      <c r="A45" s="48"/>
      <c r="F45" s="47"/>
      <c r="M45" s="28"/>
      <c r="O45" s="46"/>
    </row>
    <row r="46" spans="1:18" ht="15.75">
      <c r="A46" s="27" t="s">
        <v>46</v>
      </c>
      <c r="B46" s="10" t="s">
        <v>45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23">
        <f>ROUND(830.06/287026.2*G6,2)-17.75+7.85</f>
        <v>40.590000000000003</v>
      </c>
      <c r="N46" s="23"/>
      <c r="O46" s="23" t="s">
        <v>9</v>
      </c>
      <c r="P46" s="26"/>
      <c r="Q46" s="10"/>
      <c r="R46" s="10"/>
    </row>
    <row r="47" spans="1:18" ht="12.75">
      <c r="A47" s="33" t="s">
        <v>39</v>
      </c>
      <c r="B47" s="31" t="s">
        <v>44</v>
      </c>
      <c r="C47" s="31"/>
      <c r="D47" s="31"/>
      <c r="E47" s="31"/>
      <c r="F47" s="32"/>
      <c r="G47" s="32"/>
      <c r="H47" s="24"/>
      <c r="I47" s="31"/>
      <c r="J47" s="43"/>
      <c r="K47" s="43"/>
      <c r="L47" s="31"/>
      <c r="M47" s="45"/>
      <c r="N47" s="44"/>
      <c r="O47" s="44"/>
      <c r="P47" s="44"/>
      <c r="Q47" s="31"/>
      <c r="R47" s="31"/>
    </row>
    <row r="48" spans="1:18" ht="12.75">
      <c r="A48" s="33" t="s">
        <v>39</v>
      </c>
      <c r="B48" s="31" t="s">
        <v>43</v>
      </c>
      <c r="C48" s="31"/>
      <c r="D48" s="31"/>
      <c r="E48" s="31"/>
      <c r="F48" s="32"/>
      <c r="G48" s="8"/>
      <c r="H48" s="24"/>
      <c r="I48" s="31"/>
      <c r="J48" s="43"/>
      <c r="K48" s="43"/>
      <c r="L48" s="31"/>
      <c r="M48" s="45"/>
      <c r="N48" s="44"/>
      <c r="O48" s="44"/>
      <c r="P48" s="44"/>
      <c r="Q48" s="31"/>
      <c r="R48" s="31"/>
    </row>
    <row r="49" spans="1:18" ht="12.75">
      <c r="A49" s="33" t="s">
        <v>39</v>
      </c>
      <c r="B49" s="31" t="s">
        <v>42</v>
      </c>
      <c r="C49" s="31"/>
      <c r="D49" s="31"/>
      <c r="E49" s="31"/>
      <c r="F49" s="32"/>
      <c r="G49" s="32"/>
      <c r="H49" s="24"/>
      <c r="I49" s="31"/>
      <c r="J49" s="43"/>
      <c r="K49" s="43"/>
      <c r="L49" s="31"/>
      <c r="M49" s="45"/>
      <c r="N49" s="44"/>
      <c r="O49" s="44"/>
      <c r="P49" s="44"/>
      <c r="Q49" s="31"/>
      <c r="R49" s="31"/>
    </row>
    <row r="50" spans="1:18" ht="12.75">
      <c r="A50" s="33" t="s">
        <v>39</v>
      </c>
      <c r="B50" s="31" t="s">
        <v>41</v>
      </c>
      <c r="C50" s="24"/>
      <c r="D50" s="24"/>
      <c r="E50" s="24"/>
      <c r="F50" s="32"/>
      <c r="G50" s="32"/>
      <c r="H50" s="24"/>
      <c r="I50" s="24"/>
      <c r="J50" s="43"/>
      <c r="K50" s="43"/>
      <c r="L50" s="31"/>
      <c r="M50" s="25"/>
      <c r="N50" s="24"/>
      <c r="O50" s="24"/>
      <c r="P50" s="24"/>
      <c r="Q50" s="24"/>
      <c r="R50" s="24"/>
    </row>
    <row r="51" spans="1:18" ht="12.75">
      <c r="A51" s="33" t="s">
        <v>39</v>
      </c>
      <c r="B51" s="31" t="s">
        <v>40</v>
      </c>
      <c r="C51" s="24"/>
      <c r="D51" s="24"/>
      <c r="E51" s="24"/>
      <c r="F51" s="32"/>
      <c r="G51" s="32"/>
      <c r="H51" s="24"/>
      <c r="I51" s="24"/>
      <c r="J51" s="43"/>
      <c r="K51" s="43"/>
      <c r="L51" s="31"/>
      <c r="M51" s="30"/>
      <c r="N51" s="29"/>
      <c r="O51" s="29"/>
      <c r="P51" s="24"/>
      <c r="Q51" s="24"/>
      <c r="R51" s="24"/>
    </row>
    <row r="52" spans="1:18" ht="12.75">
      <c r="A52" s="33" t="s">
        <v>39</v>
      </c>
      <c r="B52" s="31" t="s">
        <v>38</v>
      </c>
      <c r="C52" s="24"/>
      <c r="D52" s="24"/>
      <c r="E52" s="24"/>
      <c r="F52" s="32"/>
      <c r="G52" s="32"/>
      <c r="H52" s="24"/>
      <c r="I52" s="24"/>
      <c r="J52" s="32"/>
      <c r="K52" s="32"/>
      <c r="L52" s="31"/>
      <c r="M52" s="30"/>
      <c r="N52" s="29"/>
      <c r="O52" s="29"/>
      <c r="P52" s="24"/>
      <c r="Q52" s="24"/>
      <c r="R52" s="24"/>
    </row>
    <row r="53" spans="1:18" ht="15" customHeight="1">
      <c r="A53" s="33"/>
      <c r="B53" s="24"/>
      <c r="C53" s="24"/>
      <c r="D53" s="24"/>
      <c r="E53" s="24"/>
      <c r="F53" s="32"/>
      <c r="G53" s="32"/>
      <c r="H53" s="24"/>
      <c r="I53" s="24"/>
      <c r="J53" s="42"/>
      <c r="K53" s="42"/>
      <c r="L53" s="31"/>
      <c r="M53" s="30"/>
      <c r="N53" s="29"/>
      <c r="O53" s="29"/>
      <c r="P53" s="24"/>
      <c r="Q53" s="24"/>
      <c r="R53" s="24"/>
    </row>
    <row r="54" spans="1:18" ht="15.75">
      <c r="A54" s="41" t="s">
        <v>37</v>
      </c>
      <c r="B54" s="10" t="s">
        <v>36</v>
      </c>
      <c r="C54" s="10"/>
      <c r="D54" s="10"/>
      <c r="E54" s="10"/>
      <c r="F54" s="10"/>
      <c r="G54" s="10"/>
      <c r="H54" s="10"/>
      <c r="I54" s="10"/>
      <c r="J54" s="40"/>
      <c r="K54" s="40"/>
      <c r="L54" s="10"/>
      <c r="M54" s="39">
        <v>20.65</v>
      </c>
      <c r="N54" s="23"/>
      <c r="O54" s="23" t="s">
        <v>9</v>
      </c>
      <c r="P54" s="23"/>
      <c r="Q54" s="10"/>
      <c r="R54" s="10"/>
    </row>
    <row r="55" spans="1:18" s="10" customFormat="1" ht="15.75">
      <c r="A55" s="38"/>
      <c r="M55" s="20"/>
      <c r="N55" s="19"/>
      <c r="O55" s="19"/>
      <c r="P55" s="37"/>
    </row>
    <row r="56" spans="1:18" ht="15.75">
      <c r="A56" s="27" t="s">
        <v>35</v>
      </c>
      <c r="B56" s="36" t="s">
        <v>34</v>
      </c>
      <c r="C56" s="36"/>
      <c r="D56" s="36"/>
      <c r="E56" s="36"/>
      <c r="F56" s="36"/>
      <c r="G56" s="36"/>
      <c r="H56" s="36" t="s">
        <v>33</v>
      </c>
      <c r="I56" s="36"/>
      <c r="M56" s="23">
        <v>15.88</v>
      </c>
      <c r="N56" s="22"/>
      <c r="O56" s="23" t="s">
        <v>9</v>
      </c>
      <c r="P56" s="22"/>
      <c r="R56" s="10"/>
    </row>
    <row r="57" spans="1:18" ht="15.75">
      <c r="A57" s="27"/>
      <c r="B57" s="35"/>
      <c r="C57" s="11"/>
      <c r="D57" s="11"/>
      <c r="E57" s="11"/>
      <c r="F57" s="11"/>
      <c r="G57" s="11"/>
      <c r="H57" s="11"/>
      <c r="I57" s="11"/>
      <c r="M57" s="34"/>
      <c r="N57" s="21"/>
      <c r="O57" s="34"/>
      <c r="P57" s="21"/>
      <c r="R57" s="10"/>
    </row>
    <row r="58" spans="1:18">
      <c r="B58" s="24">
        <v>1</v>
      </c>
      <c r="C58" s="24" t="s">
        <v>32</v>
      </c>
    </row>
    <row r="59" spans="1:18" ht="12.75">
      <c r="A59" s="33"/>
      <c r="B59" s="24">
        <v>2</v>
      </c>
      <c r="C59" s="24" t="s">
        <v>31</v>
      </c>
      <c r="D59" s="24"/>
      <c r="E59" s="24"/>
      <c r="F59" s="32"/>
      <c r="G59" s="32"/>
      <c r="H59" s="24"/>
      <c r="I59" s="24"/>
      <c r="J59" s="32"/>
      <c r="K59" s="32"/>
      <c r="L59" s="31"/>
      <c r="M59" s="30"/>
      <c r="N59" s="29"/>
      <c r="O59" s="29"/>
      <c r="P59" s="24"/>
      <c r="Q59" s="24"/>
      <c r="R59" s="24"/>
    </row>
    <row r="60" spans="1:18" ht="12.75">
      <c r="A60" s="24"/>
      <c r="B60" s="24">
        <v>3</v>
      </c>
      <c r="C60" s="24" t="s">
        <v>30</v>
      </c>
      <c r="D60" s="24"/>
      <c r="E60" s="24"/>
      <c r="F60" s="24"/>
      <c r="G60" s="24"/>
      <c r="H60" s="24"/>
      <c r="I60" s="24"/>
      <c r="J60" s="24"/>
      <c r="K60" s="24"/>
      <c r="L60" s="24"/>
      <c r="M60" s="25"/>
      <c r="N60" s="24"/>
      <c r="O60" s="24"/>
      <c r="P60" s="24"/>
      <c r="Q60" s="24"/>
      <c r="R60" s="24"/>
    </row>
    <row r="61" spans="1:18" ht="12.75">
      <c r="A61" s="24"/>
      <c r="B61" s="24">
        <v>4</v>
      </c>
      <c r="C61" s="24" t="s">
        <v>29</v>
      </c>
      <c r="D61" s="24"/>
      <c r="E61" s="24"/>
      <c r="F61" s="24"/>
      <c r="G61" s="24"/>
      <c r="H61" s="24"/>
      <c r="I61" s="24"/>
      <c r="J61" s="24"/>
      <c r="K61" s="24"/>
      <c r="L61" s="24"/>
      <c r="M61" s="25"/>
      <c r="N61" s="24"/>
      <c r="O61" s="24"/>
      <c r="P61" s="24"/>
      <c r="Q61" s="24"/>
      <c r="R61" s="24"/>
    </row>
    <row r="62" spans="1:18" ht="12.75">
      <c r="A62" s="24"/>
      <c r="B62" s="24">
        <v>4</v>
      </c>
      <c r="C62" s="24" t="s">
        <v>28</v>
      </c>
      <c r="D62" s="24"/>
      <c r="E62" s="24"/>
      <c r="F62" s="24"/>
      <c r="G62" s="24"/>
      <c r="H62" s="24"/>
      <c r="I62" s="24"/>
      <c r="J62" s="24"/>
      <c r="K62" s="24"/>
      <c r="L62" s="24"/>
      <c r="M62" s="25"/>
      <c r="N62" s="24"/>
      <c r="O62" s="24"/>
      <c r="P62" s="24"/>
      <c r="Q62" s="24"/>
      <c r="R62" s="24"/>
    </row>
    <row r="63" spans="1:18" ht="12.75">
      <c r="A63" s="24"/>
      <c r="B63" s="24">
        <v>5</v>
      </c>
      <c r="C63" s="24" t="s">
        <v>27</v>
      </c>
      <c r="D63" s="24"/>
      <c r="E63" s="24"/>
      <c r="F63" s="24"/>
      <c r="G63" s="24"/>
      <c r="H63" s="24"/>
      <c r="I63" s="24"/>
      <c r="J63" s="24"/>
      <c r="K63" s="24"/>
      <c r="L63" s="24"/>
      <c r="M63" s="25"/>
      <c r="N63" s="24"/>
      <c r="O63" s="24"/>
      <c r="P63" s="24"/>
      <c r="Q63" s="24"/>
      <c r="R63" s="24"/>
    </row>
    <row r="64" spans="1:18" ht="12.75">
      <c r="A64" s="33"/>
      <c r="B64" s="24">
        <v>6</v>
      </c>
      <c r="C64" s="24" t="s">
        <v>26</v>
      </c>
      <c r="D64" s="24"/>
      <c r="E64" s="24"/>
      <c r="F64" s="32"/>
      <c r="G64" s="32"/>
      <c r="H64" s="24"/>
      <c r="I64" s="24"/>
      <c r="J64" s="32"/>
      <c r="K64" s="32"/>
      <c r="L64" s="31"/>
      <c r="M64" s="30"/>
      <c r="N64" s="29"/>
      <c r="O64" s="29"/>
      <c r="P64" s="24"/>
      <c r="Q64" s="24"/>
      <c r="R64" s="24"/>
    </row>
    <row r="65" spans="1:18">
      <c r="M65" s="28"/>
    </row>
    <row r="66" spans="1:18" ht="15.75">
      <c r="A66" s="27" t="s">
        <v>25</v>
      </c>
      <c r="B66" s="10" t="s">
        <v>24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23">
        <f>33.47+9.87</f>
        <v>43.339999999999996</v>
      </c>
      <c r="N66" s="23"/>
      <c r="O66" s="23" t="s">
        <v>9</v>
      </c>
      <c r="P66" s="26"/>
      <c r="Q66" s="10"/>
      <c r="R66" s="10"/>
    </row>
    <row r="67" spans="1:18" ht="12.75">
      <c r="A67" s="24"/>
      <c r="B67" s="24">
        <v>1</v>
      </c>
      <c r="C67" s="24" t="s">
        <v>23</v>
      </c>
      <c r="D67" s="24"/>
      <c r="E67" s="24"/>
      <c r="F67" s="24"/>
      <c r="G67" s="24"/>
      <c r="H67" s="24"/>
      <c r="I67" s="24"/>
      <c r="J67" s="24"/>
      <c r="K67" s="24"/>
      <c r="L67" s="24"/>
      <c r="M67" s="25"/>
      <c r="N67" s="24"/>
      <c r="O67" s="24"/>
      <c r="P67" s="24"/>
      <c r="Q67" s="24"/>
      <c r="R67" s="24"/>
    </row>
    <row r="68" spans="1:18" ht="12.75">
      <c r="A68" s="24"/>
      <c r="B68" s="24">
        <v>2</v>
      </c>
      <c r="C68" s="24" t="s">
        <v>22</v>
      </c>
      <c r="D68" s="24"/>
      <c r="E68" s="24"/>
      <c r="F68" s="24"/>
      <c r="G68" s="24"/>
      <c r="H68" s="24"/>
      <c r="I68" s="24"/>
      <c r="J68" s="24"/>
      <c r="K68" s="24"/>
      <c r="L68" s="24"/>
      <c r="M68" s="25"/>
      <c r="N68" s="24"/>
      <c r="O68" s="24"/>
      <c r="P68" s="24"/>
      <c r="Q68" s="24"/>
      <c r="R68" s="24"/>
    </row>
    <row r="69" spans="1:18" ht="12.75">
      <c r="A69" s="24"/>
      <c r="B69" s="24">
        <v>3</v>
      </c>
      <c r="C69" s="24" t="s">
        <v>21</v>
      </c>
      <c r="D69" s="24"/>
      <c r="E69" s="24"/>
      <c r="F69" s="24"/>
      <c r="G69" s="24"/>
      <c r="H69" s="24"/>
      <c r="I69" s="24"/>
      <c r="J69" s="24"/>
      <c r="K69" s="24"/>
      <c r="L69" s="24"/>
      <c r="M69" s="25"/>
      <c r="N69" s="24"/>
      <c r="O69" s="24"/>
      <c r="P69" s="24"/>
      <c r="Q69" s="24"/>
      <c r="R69" s="24"/>
    </row>
    <row r="70" spans="1:18" ht="12.75">
      <c r="A70" s="24"/>
      <c r="B70" s="24">
        <v>4</v>
      </c>
      <c r="C70" s="24" t="s">
        <v>20</v>
      </c>
      <c r="D70" s="24"/>
      <c r="E70" s="24"/>
      <c r="F70" s="24"/>
      <c r="G70" s="24"/>
      <c r="H70" s="24"/>
      <c r="I70" s="24"/>
      <c r="J70" s="24"/>
      <c r="K70" s="24"/>
      <c r="L70" s="24"/>
      <c r="M70" s="25"/>
      <c r="N70" s="24"/>
      <c r="O70" s="24"/>
      <c r="P70" s="24"/>
      <c r="Q70" s="24"/>
      <c r="R70" s="24"/>
    </row>
    <row r="71" spans="1:18" ht="12.75">
      <c r="A71" s="24"/>
      <c r="B71" s="24">
        <v>5</v>
      </c>
      <c r="C71" s="24" t="s">
        <v>19</v>
      </c>
      <c r="D71" s="24"/>
      <c r="E71" s="24"/>
      <c r="F71" s="24"/>
      <c r="G71" s="24"/>
      <c r="H71" s="24"/>
      <c r="I71" s="24"/>
      <c r="J71" s="24"/>
      <c r="K71" s="24"/>
      <c r="L71" s="24"/>
      <c r="M71" s="25"/>
      <c r="N71" s="24"/>
      <c r="O71" s="24"/>
      <c r="P71" s="24"/>
      <c r="Q71" s="24"/>
      <c r="R71" s="24"/>
    </row>
    <row r="72" spans="1:18" ht="12.75">
      <c r="A72" s="24"/>
      <c r="B72" s="24">
        <v>6</v>
      </c>
      <c r="C72" s="24" t="s">
        <v>18</v>
      </c>
      <c r="D72" s="24"/>
      <c r="E72" s="24"/>
      <c r="F72" s="24"/>
      <c r="G72" s="24"/>
      <c r="H72" s="24"/>
      <c r="I72" s="24"/>
      <c r="J72" s="24"/>
      <c r="K72" s="24"/>
      <c r="L72" s="24"/>
      <c r="M72" s="25"/>
      <c r="N72" s="24"/>
      <c r="O72" s="24"/>
      <c r="P72" s="24"/>
      <c r="Q72" s="24"/>
      <c r="R72" s="24"/>
    </row>
    <row r="73" spans="1:18" ht="12.75">
      <c r="A73" s="24"/>
      <c r="B73" s="24">
        <v>7</v>
      </c>
      <c r="C73" s="24" t="s">
        <v>17</v>
      </c>
      <c r="D73" s="24"/>
      <c r="E73" s="24"/>
      <c r="F73" s="24"/>
      <c r="G73" s="24"/>
      <c r="H73" s="24"/>
      <c r="I73" s="24"/>
      <c r="J73" s="24"/>
      <c r="K73" s="24"/>
      <c r="L73" s="24"/>
      <c r="M73" s="25"/>
      <c r="N73" s="24"/>
      <c r="O73" s="24"/>
      <c r="P73" s="24"/>
      <c r="Q73" s="24"/>
      <c r="R73" s="24"/>
    </row>
    <row r="74" spans="1:18" ht="12.75">
      <c r="A74" s="24"/>
      <c r="B74" s="24">
        <v>8</v>
      </c>
      <c r="C74" s="24" t="s">
        <v>16</v>
      </c>
      <c r="D74" s="24"/>
      <c r="E74" s="24"/>
      <c r="F74" s="24"/>
      <c r="G74" s="24"/>
      <c r="H74" s="24"/>
      <c r="I74" s="24"/>
      <c r="J74" s="24"/>
      <c r="K74" s="24"/>
      <c r="L74" s="24"/>
      <c r="M74" s="25"/>
      <c r="N74" s="24"/>
      <c r="O74" s="24"/>
      <c r="P74" s="24"/>
      <c r="Q74" s="24"/>
      <c r="R74" s="24"/>
    </row>
    <row r="75" spans="1:18" ht="15.75">
      <c r="A75" s="10"/>
      <c r="B75" s="10"/>
      <c r="M75" s="20"/>
      <c r="N75" s="21"/>
      <c r="O75" s="19"/>
      <c r="P75" s="21"/>
    </row>
    <row r="76" spans="1:18" ht="15.75">
      <c r="A76" s="10" t="s">
        <v>15</v>
      </c>
      <c r="B76" s="10" t="s">
        <v>14</v>
      </c>
      <c r="M76" s="23">
        <f>ROUND(16.13/68387.6*G6,2)</f>
        <v>4.12</v>
      </c>
      <c r="N76" s="22"/>
      <c r="O76" s="23" t="s">
        <v>9</v>
      </c>
      <c r="P76" s="22"/>
      <c r="R76" s="10"/>
    </row>
    <row r="77" spans="1:18" ht="15.75">
      <c r="A77" s="10"/>
      <c r="B77" s="10"/>
      <c r="M77" s="19"/>
      <c r="N77" s="21"/>
      <c r="O77" s="19"/>
      <c r="P77" s="21"/>
      <c r="R77" s="10"/>
    </row>
    <row r="78" spans="1:18" s="10" customFormat="1" ht="15.75">
      <c r="A78" s="10" t="s">
        <v>13</v>
      </c>
      <c r="B78" s="10" t="s">
        <v>12</v>
      </c>
      <c r="M78" s="23">
        <f>ROUND((10446.42+1695.32*1.5+33704.3)/1000,2)</f>
        <v>46.69</v>
      </c>
      <c r="N78" s="22"/>
      <c r="O78" s="23" t="s">
        <v>9</v>
      </c>
      <c r="P78" s="22"/>
    </row>
    <row r="79" spans="1:18" ht="16.5" thickBot="1">
      <c r="A79" s="10"/>
      <c r="B79" s="10"/>
      <c r="M79" s="19"/>
      <c r="N79" s="21"/>
      <c r="O79" s="19"/>
      <c r="P79" s="21"/>
    </row>
    <row r="80" spans="1:18" ht="16.5" thickBot="1">
      <c r="A80" s="10"/>
      <c r="B80" s="9" t="s">
        <v>5</v>
      </c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8">
        <f>M21+M33+M41+M46+M54+M56+M66+M76+M78</f>
        <v>320.12</v>
      </c>
      <c r="N80" s="17"/>
      <c r="O80" s="17" t="s">
        <v>9</v>
      </c>
      <c r="P80" s="15"/>
      <c r="Q80" s="10"/>
      <c r="R80" s="10"/>
    </row>
    <row r="81" spans="1:18" ht="16.5" thickBot="1">
      <c r="A81" s="10"/>
      <c r="B81" s="9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20"/>
      <c r="N81" s="19"/>
      <c r="O81" s="19"/>
      <c r="P81" s="19"/>
      <c r="Q81" s="10"/>
      <c r="R81" s="10"/>
    </row>
    <row r="82" spans="1:18" s="10" customFormat="1" ht="16.5" thickBot="1">
      <c r="B82" s="9" t="s">
        <v>11</v>
      </c>
      <c r="M82" s="18">
        <f>ROUND(M80*7/100,2)</f>
        <v>22.41</v>
      </c>
      <c r="N82" s="17"/>
      <c r="O82" s="16" t="s">
        <v>9</v>
      </c>
      <c r="P82" s="15"/>
    </row>
    <row r="83" spans="1:18" ht="15" thickBot="1"/>
    <row r="84" spans="1:18" ht="16.5" thickBot="1">
      <c r="B84" s="9" t="s">
        <v>10</v>
      </c>
      <c r="M84" s="18">
        <f>M80+M82</f>
        <v>342.53000000000003</v>
      </c>
      <c r="N84" s="17"/>
      <c r="O84" s="16" t="s">
        <v>9</v>
      </c>
      <c r="P84" s="15"/>
      <c r="R84" s="10"/>
    </row>
    <row r="85" spans="1:18">
      <c r="M85" s="14"/>
    </row>
    <row r="87" spans="1:18" s="8" customFormat="1" ht="15">
      <c r="A87" s="10"/>
      <c r="B87" s="10" t="s">
        <v>8</v>
      </c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</row>
    <row r="88" spans="1:18" s="8" customFormat="1" ht="15.75">
      <c r="A88" s="10"/>
      <c r="B88" s="10" t="s">
        <v>7</v>
      </c>
      <c r="C88" s="10"/>
      <c r="D88" s="10"/>
      <c r="E88" s="10"/>
      <c r="F88" s="10"/>
      <c r="G88" s="10"/>
      <c r="H88" s="10"/>
      <c r="I88" s="10"/>
      <c r="J88" s="10"/>
      <c r="K88" s="10"/>
      <c r="L88" s="12">
        <v>296687.89</v>
      </c>
      <c r="M88" s="12"/>
      <c r="N88" s="11" t="s">
        <v>4</v>
      </c>
      <c r="O88" s="10"/>
      <c r="P88" s="10"/>
      <c r="Q88" s="10"/>
      <c r="R88" s="10"/>
    </row>
    <row r="89" spans="1:18" s="8" customFormat="1" ht="15" customHeight="1">
      <c r="A89" s="10"/>
      <c r="B89" s="10" t="s">
        <v>6</v>
      </c>
      <c r="C89" s="10"/>
      <c r="D89" s="10"/>
      <c r="E89" s="10"/>
      <c r="F89" s="10"/>
      <c r="G89" s="10"/>
      <c r="H89" s="10"/>
      <c r="I89" s="10"/>
      <c r="J89" s="10"/>
      <c r="K89" s="10"/>
      <c r="L89" s="13">
        <f>10446.42+1695.32+33704.3</f>
        <v>45846.04</v>
      </c>
      <c r="M89" s="13"/>
      <c r="N89" s="11" t="s">
        <v>4</v>
      </c>
      <c r="O89" s="10"/>
      <c r="P89" s="10"/>
      <c r="Q89" s="10"/>
      <c r="R89" s="10"/>
    </row>
    <row r="90" spans="1:18" s="8" customFormat="1" ht="15.75">
      <c r="A90" s="9"/>
      <c r="B90" s="9" t="s">
        <v>5</v>
      </c>
      <c r="C90" s="9"/>
      <c r="D90" s="9"/>
      <c r="E90" s="9"/>
      <c r="F90" s="9"/>
      <c r="G90" s="9"/>
      <c r="H90" s="9"/>
      <c r="I90" s="9"/>
      <c r="J90" s="9"/>
      <c r="K90" s="9"/>
      <c r="L90" s="12">
        <f>SUM(L88:M89)</f>
        <v>342533.93</v>
      </c>
      <c r="M90" s="12"/>
      <c r="N90" s="11" t="s">
        <v>4</v>
      </c>
      <c r="O90" s="9"/>
      <c r="P90" s="9"/>
      <c r="Q90" s="9"/>
      <c r="R90" s="9"/>
    </row>
    <row r="91" spans="1:18" s="8" customFormat="1" ht="15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</row>
    <row r="92" spans="1:18" ht="15.75">
      <c r="A92" s="6"/>
      <c r="B92" s="7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</row>
    <row r="93" spans="1:18" ht="15.75">
      <c r="A93" s="6"/>
      <c r="B93" s="7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</row>
    <row r="94" spans="1:18" ht="15.75">
      <c r="A94" s="6"/>
      <c r="B94" s="7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</row>
    <row r="95" spans="1:18" s="8" customFormat="1" ht="15.75">
      <c r="A95" s="9"/>
      <c r="B95" s="5" t="s">
        <v>3</v>
      </c>
      <c r="C95" s="9"/>
      <c r="D95" s="9"/>
      <c r="E95" s="9"/>
      <c r="F95" s="9"/>
      <c r="G95" s="9"/>
      <c r="H95" s="9"/>
      <c r="I95" s="9"/>
      <c r="J95" s="9"/>
      <c r="K95" s="5" t="s">
        <v>2</v>
      </c>
      <c r="L95" s="5"/>
      <c r="M95" s="5"/>
      <c r="N95" s="5"/>
      <c r="O95" s="5"/>
      <c r="P95" s="5"/>
      <c r="Q95" s="9"/>
      <c r="R95" s="9"/>
    </row>
    <row r="96" spans="1:18" ht="15.75">
      <c r="A96" s="6"/>
      <c r="B96" s="6"/>
      <c r="C96" s="6"/>
      <c r="D96" s="6"/>
      <c r="E96" s="6"/>
      <c r="F96" s="6"/>
      <c r="G96" s="6"/>
      <c r="H96" s="6"/>
      <c r="I96" s="6"/>
      <c r="J96" s="6"/>
      <c r="K96" s="7"/>
      <c r="L96" s="7"/>
      <c r="M96" s="7"/>
      <c r="N96" s="7"/>
      <c r="O96" s="7"/>
      <c r="P96" s="7"/>
      <c r="Q96" s="6"/>
      <c r="R96" s="6"/>
    </row>
    <row r="97" spans="1:18" ht="15.75">
      <c r="E97" s="5" t="s">
        <v>1</v>
      </c>
      <c r="K97" s="4"/>
      <c r="L97" s="4"/>
      <c r="M97" s="5" t="s">
        <v>0</v>
      </c>
      <c r="N97" s="4"/>
      <c r="O97" s="4"/>
      <c r="P97" s="4"/>
    </row>
    <row r="100" spans="1:18" s="2" customForma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</row>
    <row r="101" spans="1:18" s="2" customForma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</row>
  </sheetData>
  <mergeCells count="25">
    <mergeCell ref="J54:K54"/>
    <mergeCell ref="G7:H7"/>
    <mergeCell ref="J51:K51"/>
    <mergeCell ref="J47:K47"/>
    <mergeCell ref="J48:K48"/>
    <mergeCell ref="J49:K49"/>
    <mergeCell ref="J50:K50"/>
    <mergeCell ref="G10:H10"/>
    <mergeCell ref="B56:G56"/>
    <mergeCell ref="H56:I56"/>
    <mergeCell ref="G11:H11"/>
    <mergeCell ref="G12:H12"/>
    <mergeCell ref="G13:H13"/>
    <mergeCell ref="E23:F23"/>
    <mergeCell ref="G15:H15"/>
    <mergeCell ref="C4:L4"/>
    <mergeCell ref="B3:M3"/>
    <mergeCell ref="G14:H14"/>
    <mergeCell ref="L90:M90"/>
    <mergeCell ref="L88:M88"/>
    <mergeCell ref="L89:M89"/>
    <mergeCell ref="E24:F24"/>
    <mergeCell ref="G6:H6"/>
    <mergeCell ref="G8:H8"/>
    <mergeCell ref="G9:H9"/>
  </mergeCells>
  <pageMargins left="0.19685039370078741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27 У фонтана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2019-03-26T12:01:38Z</dcterms:created>
  <dcterms:modified xsi:type="dcterms:W3CDTF">2019-03-26T12:01:54Z</dcterms:modified>
</cp:coreProperties>
</file>