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Раскрытие информации\2021\Потенциал\1Отчеты о вып. работах 2020\"/>
    </mc:Choice>
  </mc:AlternateContent>
  <bookViews>
    <workbookView xWindow="0" yWindow="0" windowWidth="20490" windowHeight="7755"/>
  </bookViews>
  <sheets>
    <sheet name="26-1 Металл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4" i="1" l="1"/>
  <c r="J5" i="1"/>
  <c r="K5" i="1"/>
  <c r="J6" i="1"/>
  <c r="J4" i="1" s="1"/>
  <c r="J37" i="1" s="1"/>
  <c r="K6" i="1"/>
  <c r="J7" i="1"/>
  <c r="K7" i="1"/>
  <c r="J8" i="1"/>
  <c r="J11" i="1"/>
  <c r="K11" i="1"/>
  <c r="K10" i="1" s="1"/>
  <c r="J12" i="1"/>
  <c r="J10" i="1" s="1"/>
  <c r="K12" i="1"/>
  <c r="J13" i="1"/>
  <c r="K13" i="1"/>
  <c r="J14" i="1"/>
  <c r="J15" i="1"/>
  <c r="J16" i="1"/>
  <c r="J18" i="1"/>
  <c r="K18" i="1"/>
  <c r="J19" i="1"/>
  <c r="J17" i="1" s="1"/>
  <c r="K19" i="1"/>
  <c r="K17" i="1" s="1"/>
  <c r="J20" i="1"/>
  <c r="K20" i="1"/>
  <c r="J22" i="1"/>
  <c r="K22" i="1"/>
  <c r="K23" i="1"/>
  <c r="K24" i="1"/>
  <c r="K25" i="1"/>
  <c r="J29" i="1"/>
  <c r="K29" i="1"/>
  <c r="J31" i="1"/>
  <c r="K31" i="1"/>
  <c r="J32" i="1"/>
  <c r="J33" i="1"/>
  <c r="K33" i="1"/>
  <c r="J35" i="1"/>
  <c r="K35" i="1"/>
  <c r="J41" i="1"/>
  <c r="K41" i="1"/>
  <c r="K45" i="1"/>
  <c r="K47" i="1"/>
  <c r="J38" i="1" l="1"/>
  <c r="J39" i="1" s="1"/>
  <c r="J43" i="1" s="1"/>
  <c r="K37" i="1"/>
  <c r="K38" i="1" l="1"/>
  <c r="K39" i="1" s="1"/>
  <c r="K43" i="1" s="1"/>
</calcChain>
</file>

<file path=xl/sharedStrings.xml><?xml version="1.0" encoding="utf-8"?>
<sst xmlns="http://schemas.openxmlformats.org/spreadsheetml/2006/main" count="69" uniqueCount="69">
  <si>
    <t>Труфанова Т.Н.</t>
  </si>
  <si>
    <t>Председатель ЖСК "Металл"</t>
  </si>
  <si>
    <t>Хренов Д.В.</t>
  </si>
  <si>
    <t>Директор ООО "Потенциал"</t>
  </si>
  <si>
    <t>Сумма поступлений от населения:</t>
  </si>
  <si>
    <t>Сумма начисления:</t>
  </si>
  <si>
    <t>Всего расходов:</t>
  </si>
  <si>
    <t>Расходы на ОДН (ГВС, ХВС, эл. эн.)</t>
  </si>
  <si>
    <t>9.</t>
  </si>
  <si>
    <t>Всего:</t>
  </si>
  <si>
    <t>Рентабельность</t>
  </si>
  <si>
    <t>Итого:</t>
  </si>
  <si>
    <t>Внеэксплуатационные расходы:</t>
  </si>
  <si>
    <t>8.</t>
  </si>
  <si>
    <t>Общеэксплуатационные расходы:</t>
  </si>
  <si>
    <t>7.</t>
  </si>
  <si>
    <t>в том числе расчет с КВЦ за кап.рем.</t>
  </si>
  <si>
    <t>Прочие прямые затраты:</t>
  </si>
  <si>
    <t>6.</t>
  </si>
  <si>
    <t>Отчисления в ЖСК</t>
  </si>
  <si>
    <t>5.</t>
  </si>
  <si>
    <t xml:space="preserve">Обследование вентиляции </t>
  </si>
  <si>
    <t>4.5.</t>
  </si>
  <si>
    <t>Ремонт межпанельных швов</t>
  </si>
  <si>
    <t>4.4.</t>
  </si>
  <si>
    <t>Прочее: (с/о, инвентарь)</t>
  </si>
  <si>
    <t>4.3.</t>
  </si>
  <si>
    <t>Заявочный ремонт, проф. осмотр</t>
  </si>
  <si>
    <t>4.2.</t>
  </si>
  <si>
    <t>ППР (акты Ф-2)</t>
  </si>
  <si>
    <t>4.1.</t>
  </si>
  <si>
    <t>Тех. обслуж. и тек. ремонт общедом. имущества</t>
  </si>
  <si>
    <t>4.</t>
  </si>
  <si>
    <t>Страхование лифтов</t>
  </si>
  <si>
    <t>3.3.</t>
  </si>
  <si>
    <t>Диагностическое обследование лифтов:</t>
  </si>
  <si>
    <t>3.2.</t>
  </si>
  <si>
    <t>Техническое обслуживание лифтов</t>
  </si>
  <si>
    <t>3.1.</t>
  </si>
  <si>
    <t>Содержание и обслуживание лифтового хоз.</t>
  </si>
  <si>
    <t>3.</t>
  </si>
  <si>
    <t>Испыт.и измер. электрообор.</t>
  </si>
  <si>
    <t>2.6.</t>
  </si>
  <si>
    <t>Тех.диагн.внутрид.газового обор.</t>
  </si>
  <si>
    <t>2.5.</t>
  </si>
  <si>
    <t>Проверка вент. Каналов</t>
  </si>
  <si>
    <t>2.4.</t>
  </si>
  <si>
    <t>Рязаньгоргаз</t>
  </si>
  <si>
    <t>2.3.</t>
  </si>
  <si>
    <t>Услуга АРС (Аварийно-ремонтной службы)</t>
  </si>
  <si>
    <t>2.2.</t>
  </si>
  <si>
    <t>Дератизация, дезинсекция</t>
  </si>
  <si>
    <t>2.1.</t>
  </si>
  <si>
    <t>Содержание домохозяйства :</t>
  </si>
  <si>
    <t>2.</t>
  </si>
  <si>
    <t>Прочее: (уборка снега, окос)</t>
  </si>
  <si>
    <t>1.4.</t>
  </si>
  <si>
    <t>С/о и инвентарь :</t>
  </si>
  <si>
    <t>1.3.</t>
  </si>
  <si>
    <t>Начисление на зарплату 30.28%</t>
  </si>
  <si>
    <t>1.2.</t>
  </si>
  <si>
    <t>Зарплата дворников, уборщицы</t>
  </si>
  <si>
    <t>1.1.</t>
  </si>
  <si>
    <t>Благоустройство и сан. очистка домовладений :</t>
  </si>
  <si>
    <t>1.</t>
  </si>
  <si>
    <r>
      <t>Факт</t>
    </r>
    <r>
      <rPr>
        <sz val="12"/>
        <rFont val="Arial Cyr"/>
        <charset val="204"/>
      </rPr>
      <t>, руб.</t>
    </r>
  </si>
  <si>
    <r>
      <t>План</t>
    </r>
    <r>
      <rPr>
        <sz val="12"/>
        <rFont val="Arial Cyr"/>
        <charset val="204"/>
      </rPr>
      <t>, руб.</t>
    </r>
  </si>
  <si>
    <t>ЖСК "Металл", ул. Зубковой д. 26 кор.1 за январь-декабрь 2020 г.</t>
  </si>
  <si>
    <t xml:space="preserve">ОТЧЁТ по расходам на обслуживание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</si>
</sst>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_-* #,##0.00\ _р_._-;\-* #,##0.00\ _р_._-;_-* &quot;-&quot;??\ _р_._-;_-@_-"/>
  </numFmts>
  <fonts count="5" x14ac:knownFonts="1">
    <font>
      <sz val="10"/>
      <name val="Arial Cyr"/>
      <charset val="204"/>
    </font>
    <font>
      <sz val="12"/>
      <name val="Arial Cyr"/>
      <charset val="204"/>
    </font>
    <font>
      <sz val="12"/>
      <name val="Arial"/>
      <family val="2"/>
      <charset val="204"/>
    </font>
    <font>
      <b/>
      <sz val="12"/>
      <name val="Arial Cyr"/>
      <charset val="204"/>
    </font>
    <font>
      <sz val="14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/>
    <xf numFmtId="164" fontId="1" fillId="0" borderId="0" xfId="0" applyNumberFormat="1" applyFont="1"/>
    <xf numFmtId="49" fontId="2" fillId="0" borderId="0" xfId="0" applyNumberFormat="1" applyFont="1"/>
    <xf numFmtId="0" fontId="2" fillId="0" borderId="0" xfId="0" applyFont="1"/>
    <xf numFmtId="49" fontId="1" fillId="0" borderId="0" xfId="0" applyNumberFormat="1" applyFont="1"/>
    <xf numFmtId="0" fontId="3" fillId="0" borderId="0" xfId="0" applyFont="1"/>
    <xf numFmtId="164" fontId="3" fillId="0" borderId="0" xfId="0" applyNumberFormat="1" applyFont="1" applyBorder="1"/>
    <xf numFmtId="0" fontId="3" fillId="0" borderId="0" xfId="0" applyFont="1" applyAlignment="1">
      <alignment horizontal="left"/>
    </xf>
    <xf numFmtId="164" fontId="3" fillId="0" borderId="1" xfId="0" applyNumberFormat="1" applyFont="1" applyBorder="1"/>
    <xf numFmtId="0" fontId="3" fillId="0" borderId="0" xfId="0" applyFont="1" applyAlignment="1">
      <alignment horizontal="left"/>
    </xf>
    <xf numFmtId="4" fontId="1" fillId="0" borderId="0" xfId="0" applyNumberFormat="1" applyFont="1"/>
    <xf numFmtId="164" fontId="1" fillId="0" borderId="1" xfId="0" applyNumberFormat="1" applyFont="1" applyBorder="1"/>
    <xf numFmtId="0" fontId="1" fillId="0" borderId="0" xfId="0" applyFont="1" applyAlignment="1">
      <alignment horizontal="left"/>
    </xf>
    <xf numFmtId="0" fontId="1" fillId="0" borderId="0" xfId="0" applyFont="1" applyAlignment="1"/>
    <xf numFmtId="164" fontId="1" fillId="2" borderId="1" xfId="0" applyNumberFormat="1" applyFont="1" applyFill="1" applyBorder="1"/>
    <xf numFmtId="0" fontId="1" fillId="0" borderId="0" xfId="0" applyFont="1" applyAlignment="1">
      <alignment horizontal="left"/>
    </xf>
    <xf numFmtId="0" fontId="3" fillId="0" borderId="0" xfId="0" applyFont="1" applyAlignment="1"/>
    <xf numFmtId="165" fontId="1" fillId="0" borderId="1" xfId="0" applyNumberFormat="1" applyFont="1" applyBorder="1"/>
    <xf numFmtId="0" fontId="3" fillId="0" borderId="1" xfId="0" applyFont="1" applyBorder="1"/>
    <xf numFmtId="0" fontId="4" fillId="0" borderId="0" xfId="0" applyFont="1"/>
    <xf numFmtId="0" fontId="4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76"/>
  <sheetViews>
    <sheetView tabSelected="1" topLeftCell="A22" workbookViewId="0">
      <selection activeCell="K30" sqref="K30"/>
    </sheetView>
  </sheetViews>
  <sheetFormatPr defaultRowHeight="12.75" x14ac:dyDescent="0.2"/>
  <cols>
    <col min="1" max="1" width="2.42578125" customWidth="1"/>
    <col min="2" max="2" width="3.85546875" customWidth="1"/>
    <col min="3" max="5" width="8.5703125" customWidth="1"/>
    <col min="6" max="6" width="11.140625" customWidth="1"/>
    <col min="7" max="7" width="7.28515625" customWidth="1"/>
    <col min="8" max="8" width="4.7109375" customWidth="1"/>
    <col min="9" max="9" width="3.5703125" customWidth="1"/>
    <col min="10" max="11" width="17.85546875" customWidth="1"/>
    <col min="12" max="12" width="2" customWidth="1"/>
    <col min="13" max="13" width="14.85546875" customWidth="1"/>
    <col min="14" max="14" width="17.85546875" customWidth="1"/>
    <col min="15" max="15" width="11.7109375" customWidth="1"/>
    <col min="16" max="16" width="13.140625" customWidth="1"/>
  </cols>
  <sheetData>
    <row r="1" spans="1:11" s="20" customFormat="1" ht="18" x14ac:dyDescent="0.25">
      <c r="A1" s="21" t="s">
        <v>68</v>
      </c>
      <c r="B1" s="21"/>
      <c r="C1" s="21"/>
      <c r="D1" s="21"/>
      <c r="E1" s="21"/>
      <c r="F1" s="21"/>
      <c r="G1" s="21"/>
      <c r="H1" s="21"/>
      <c r="I1" s="21"/>
      <c r="J1" s="21"/>
      <c r="K1" s="21"/>
    </row>
    <row r="2" spans="1:11" s="20" customFormat="1" ht="18" x14ac:dyDescent="0.25">
      <c r="A2" s="21" t="s">
        <v>67</v>
      </c>
      <c r="B2" s="21"/>
      <c r="C2" s="21"/>
      <c r="D2" s="21"/>
      <c r="E2" s="21"/>
      <c r="F2" s="21"/>
      <c r="G2" s="21"/>
      <c r="H2" s="21"/>
      <c r="I2" s="21"/>
      <c r="J2" s="21"/>
      <c r="K2" s="21"/>
    </row>
    <row r="3" spans="1:11" s="1" customFormat="1" ht="15.75" x14ac:dyDescent="0.25">
      <c r="J3" s="19" t="s">
        <v>66</v>
      </c>
      <c r="K3" s="19" t="s">
        <v>65</v>
      </c>
    </row>
    <row r="4" spans="1:11" s="1" customFormat="1" ht="15.75" x14ac:dyDescent="0.25">
      <c r="A4" s="6" t="s">
        <v>64</v>
      </c>
      <c r="B4" s="10" t="s">
        <v>63</v>
      </c>
      <c r="C4" s="10"/>
      <c r="D4" s="10"/>
      <c r="E4" s="10"/>
      <c r="F4" s="10"/>
      <c r="G4" s="10"/>
      <c r="H4" s="10"/>
      <c r="J4" s="9">
        <f>SUM(J5:J8)</f>
        <v>709368.35</v>
      </c>
      <c r="K4" s="9">
        <f>SUM(K5:K9)</f>
        <v>659656.1</v>
      </c>
    </row>
    <row r="5" spans="1:11" s="1" customFormat="1" ht="15" x14ac:dyDescent="0.2">
      <c r="B5" s="1" t="s">
        <v>62</v>
      </c>
      <c r="C5" s="16" t="s">
        <v>61</v>
      </c>
      <c r="D5" s="16"/>
      <c r="E5" s="16"/>
      <c r="F5" s="16"/>
      <c r="J5" s="12">
        <f>43689*12</f>
        <v>524268</v>
      </c>
      <c r="K5" s="12">
        <f>124789.55+124446.79+122887.36+121044.82</f>
        <v>493168.52</v>
      </c>
    </row>
    <row r="6" spans="1:11" s="1" customFormat="1" ht="15" x14ac:dyDescent="0.2">
      <c r="B6" s="1" t="s">
        <v>60</v>
      </c>
      <c r="C6" s="16" t="s">
        <v>59</v>
      </c>
      <c r="D6" s="16"/>
      <c r="E6" s="16"/>
      <c r="F6" s="16"/>
      <c r="J6" s="18">
        <f>ROUND(J5*30.28/100,2)</f>
        <v>158748.35</v>
      </c>
      <c r="K6" s="18">
        <f>ROUND(K5*30.28/100,2)</f>
        <v>149331.43</v>
      </c>
    </row>
    <row r="7" spans="1:11" s="1" customFormat="1" ht="15" x14ac:dyDescent="0.2">
      <c r="B7" s="1" t="s">
        <v>58</v>
      </c>
      <c r="C7" s="16" t="s">
        <v>57</v>
      </c>
      <c r="D7" s="16"/>
      <c r="E7" s="16"/>
      <c r="J7" s="12">
        <f>1757*12</f>
        <v>21084</v>
      </c>
      <c r="K7" s="12">
        <f>5665.66+3647.66+1775.26+6067.57</f>
        <v>17156.150000000001</v>
      </c>
    </row>
    <row r="8" spans="1:11" s="1" customFormat="1" ht="15" x14ac:dyDescent="0.2">
      <c r="B8" s="1" t="s">
        <v>56</v>
      </c>
      <c r="C8" s="1" t="s">
        <v>55</v>
      </c>
      <c r="J8" s="12">
        <f>439*12</f>
        <v>5268</v>
      </c>
      <c r="K8" s="12"/>
    </row>
    <row r="9" spans="1:11" s="1" customFormat="1" ht="15" x14ac:dyDescent="0.2">
      <c r="J9" s="12"/>
      <c r="K9" s="12"/>
    </row>
    <row r="10" spans="1:11" s="1" customFormat="1" ht="15.75" x14ac:dyDescent="0.25">
      <c r="A10" s="6" t="s">
        <v>54</v>
      </c>
      <c r="B10" s="10" t="s">
        <v>53</v>
      </c>
      <c r="C10" s="10"/>
      <c r="D10" s="10"/>
      <c r="E10" s="10"/>
      <c r="F10" s="10"/>
      <c r="J10" s="9">
        <f>SUM(J11:J16)</f>
        <v>263640</v>
      </c>
      <c r="K10" s="9">
        <f>SUM(K11:K16)</f>
        <v>256247.27000000002</v>
      </c>
    </row>
    <row r="11" spans="1:11" s="1" customFormat="1" ht="15" x14ac:dyDescent="0.2">
      <c r="B11" s="1" t="s">
        <v>52</v>
      </c>
      <c r="C11" s="16" t="s">
        <v>51</v>
      </c>
      <c r="D11" s="16"/>
      <c r="E11" s="16"/>
      <c r="F11" s="16"/>
      <c r="J11" s="12">
        <f>1072*12</f>
        <v>12864</v>
      </c>
      <c r="K11" s="12">
        <f>3273.86+3351.51+3351.51+3351.51</f>
        <v>13328.390000000001</v>
      </c>
    </row>
    <row r="12" spans="1:11" s="1" customFormat="1" ht="15" x14ac:dyDescent="0.2">
      <c r="B12" s="1" t="s">
        <v>50</v>
      </c>
      <c r="C12" s="16" t="s">
        <v>49</v>
      </c>
      <c r="D12" s="16"/>
      <c r="E12" s="16"/>
      <c r="F12" s="16"/>
      <c r="G12" s="16"/>
      <c r="H12" s="16"/>
      <c r="J12" s="12">
        <f>8897*12</f>
        <v>106764</v>
      </c>
      <c r="K12" s="12">
        <f>26687.22+26687.22+26687.22+26687.22</f>
        <v>106748.88</v>
      </c>
    </row>
    <row r="13" spans="1:11" s="1" customFormat="1" ht="15" x14ac:dyDescent="0.2">
      <c r="B13" s="1" t="s">
        <v>48</v>
      </c>
      <c r="C13" s="16" t="s">
        <v>47</v>
      </c>
      <c r="D13" s="16"/>
      <c r="E13" s="14"/>
      <c r="F13" s="14"/>
      <c r="J13" s="12">
        <f>11086*12</f>
        <v>133032</v>
      </c>
      <c r="K13" s="12">
        <f>136170</f>
        <v>136170</v>
      </c>
    </row>
    <row r="14" spans="1:11" s="1" customFormat="1" ht="15" x14ac:dyDescent="0.2">
      <c r="B14" s="1" t="s">
        <v>46</v>
      </c>
      <c r="C14" s="13" t="s">
        <v>45</v>
      </c>
      <c r="D14" s="13"/>
      <c r="E14" s="14"/>
      <c r="F14" s="14"/>
      <c r="J14" s="12">
        <f>787*12</f>
        <v>9444</v>
      </c>
      <c r="K14" s="12"/>
    </row>
    <row r="15" spans="1:11" s="1" customFormat="1" ht="15" x14ac:dyDescent="0.2">
      <c r="B15" s="1" t="s">
        <v>44</v>
      </c>
      <c r="C15" s="13" t="s">
        <v>43</v>
      </c>
      <c r="D15" s="13"/>
      <c r="E15" s="14"/>
      <c r="F15" s="14"/>
      <c r="J15" s="12">
        <f>0</f>
        <v>0</v>
      </c>
      <c r="K15" s="12"/>
    </row>
    <row r="16" spans="1:11" s="1" customFormat="1" ht="15" x14ac:dyDescent="0.2">
      <c r="B16" s="1" t="s">
        <v>42</v>
      </c>
      <c r="C16" s="13" t="s">
        <v>41</v>
      </c>
      <c r="D16" s="13"/>
      <c r="E16" s="14"/>
      <c r="F16" s="14"/>
      <c r="J16" s="12">
        <f>128*12</f>
        <v>1536</v>
      </c>
      <c r="K16" s="12"/>
    </row>
    <row r="17" spans="1:11" s="1" customFormat="1" ht="15.75" x14ac:dyDescent="0.25">
      <c r="A17" s="6" t="s">
        <v>40</v>
      </c>
      <c r="B17" s="10" t="s">
        <v>39</v>
      </c>
      <c r="C17" s="10"/>
      <c r="D17" s="10"/>
      <c r="E17" s="10"/>
      <c r="F17" s="10"/>
      <c r="G17" s="10"/>
      <c r="H17" s="10"/>
      <c r="J17" s="9">
        <f>SUM(J18:J20)</f>
        <v>868440</v>
      </c>
      <c r="K17" s="9">
        <f>SUM(K18:K20)</f>
        <v>866590.20000000007</v>
      </c>
    </row>
    <row r="18" spans="1:11" s="1" customFormat="1" ht="15" x14ac:dyDescent="0.2">
      <c r="B18" s="13" t="s">
        <v>38</v>
      </c>
      <c r="C18" s="16" t="s">
        <v>37</v>
      </c>
      <c r="D18" s="16"/>
      <c r="E18" s="16"/>
      <c r="F18" s="16"/>
      <c r="G18" s="16"/>
      <c r="J18" s="12">
        <f>67012*12</f>
        <v>804144</v>
      </c>
      <c r="K18" s="12">
        <f>201035.1+201035.1+201035.1+201035.1</f>
        <v>804140.4</v>
      </c>
    </row>
    <row r="19" spans="1:11" s="1" customFormat="1" ht="15" x14ac:dyDescent="0.2">
      <c r="B19" s="13" t="s">
        <v>36</v>
      </c>
      <c r="C19" s="16" t="s">
        <v>35</v>
      </c>
      <c r="D19" s="16"/>
      <c r="E19" s="16"/>
      <c r="F19" s="16"/>
      <c r="G19" s="16"/>
      <c r="H19" s="16"/>
      <c r="J19" s="12">
        <f>4983*12</f>
        <v>59796</v>
      </c>
      <c r="K19" s="12">
        <f>12813+46981</f>
        <v>59794</v>
      </c>
    </row>
    <row r="20" spans="1:11" s="1" customFormat="1" ht="15" x14ac:dyDescent="0.2">
      <c r="B20" s="1" t="s">
        <v>34</v>
      </c>
      <c r="C20" s="1" t="s">
        <v>33</v>
      </c>
      <c r="J20" s="12">
        <f>375*12</f>
        <v>4500</v>
      </c>
      <c r="K20" s="12">
        <f>14*189.7</f>
        <v>2655.7999999999997</v>
      </c>
    </row>
    <row r="21" spans="1:11" s="1" customFormat="1" ht="15" x14ac:dyDescent="0.2">
      <c r="J21" s="12"/>
      <c r="K21" s="12"/>
    </row>
    <row r="22" spans="1:11" s="1" customFormat="1" ht="15.75" x14ac:dyDescent="0.25">
      <c r="A22" s="6" t="s">
        <v>32</v>
      </c>
      <c r="B22" s="17" t="s">
        <v>31</v>
      </c>
      <c r="C22" s="17"/>
      <c r="D22" s="17"/>
      <c r="J22" s="9">
        <f>121350+115640*11</f>
        <v>1393390</v>
      </c>
      <c r="K22" s="9">
        <f>SUM(K23:K28)</f>
        <v>1099804.3100000003</v>
      </c>
    </row>
    <row r="23" spans="1:11" s="1" customFormat="1" ht="15" x14ac:dyDescent="0.2">
      <c r="B23" s="1" t="s">
        <v>30</v>
      </c>
      <c r="C23" s="16" t="s">
        <v>29</v>
      </c>
      <c r="D23" s="16"/>
      <c r="J23" s="12"/>
      <c r="K23" s="12">
        <f>63885.37+40136.05+318882.02+276799.7</f>
        <v>699703.14000000013</v>
      </c>
    </row>
    <row r="24" spans="1:11" s="1" customFormat="1" ht="15" x14ac:dyDescent="0.2">
      <c r="B24" s="1" t="s">
        <v>28</v>
      </c>
      <c r="C24" s="16" t="s">
        <v>27</v>
      </c>
      <c r="D24" s="16"/>
      <c r="E24" s="16"/>
      <c r="F24" s="16"/>
      <c r="G24" s="16"/>
      <c r="J24" s="12"/>
      <c r="K24" s="12">
        <f>122441.59+80967.73+49053.28+67006.68</f>
        <v>319469.28000000003</v>
      </c>
    </row>
    <row r="25" spans="1:11" s="1" customFormat="1" ht="15" x14ac:dyDescent="0.2">
      <c r="B25" s="1" t="s">
        <v>26</v>
      </c>
      <c r="C25" s="16" t="s">
        <v>25</v>
      </c>
      <c r="D25" s="16"/>
      <c r="E25" s="16"/>
      <c r="F25" s="16"/>
      <c r="G25" s="16"/>
      <c r="H25" s="16"/>
      <c r="J25" s="12"/>
      <c r="K25" s="15">
        <f>2878.69+1526.47+4509.54+9382.82</f>
        <v>18297.52</v>
      </c>
    </row>
    <row r="26" spans="1:11" s="1" customFormat="1" ht="15" x14ac:dyDescent="0.2">
      <c r="B26" s="1" t="s">
        <v>24</v>
      </c>
      <c r="C26" s="13" t="s">
        <v>23</v>
      </c>
      <c r="D26" s="13"/>
      <c r="E26" s="13"/>
      <c r="F26" s="13"/>
      <c r="G26" s="14"/>
      <c r="H26" s="14"/>
      <c r="J26" s="12"/>
      <c r="K26" s="12">
        <v>24805</v>
      </c>
    </row>
    <row r="27" spans="1:11" s="1" customFormat="1" ht="15" x14ac:dyDescent="0.2">
      <c r="B27" s="1" t="s">
        <v>22</v>
      </c>
      <c r="C27" s="13" t="s">
        <v>21</v>
      </c>
      <c r="D27" s="13"/>
      <c r="E27" s="13"/>
      <c r="F27" s="13"/>
      <c r="G27" s="14"/>
      <c r="H27" s="14"/>
      <c r="J27" s="12"/>
      <c r="K27" s="12">
        <v>37529.370000000003</v>
      </c>
    </row>
    <row r="28" spans="1:11" s="1" customFormat="1" ht="15" x14ac:dyDescent="0.2">
      <c r="C28" s="13"/>
      <c r="D28" s="13"/>
      <c r="E28" s="13"/>
      <c r="F28" s="13"/>
      <c r="G28" s="14"/>
      <c r="H28" s="14"/>
      <c r="J28" s="12"/>
      <c r="K28" s="12"/>
    </row>
    <row r="29" spans="1:11" s="1" customFormat="1" ht="15.75" x14ac:dyDescent="0.25">
      <c r="A29" s="6" t="s">
        <v>20</v>
      </c>
      <c r="B29" s="8" t="s">
        <v>19</v>
      </c>
      <c r="C29" s="8"/>
      <c r="D29" s="8"/>
      <c r="E29" s="13"/>
      <c r="F29" s="13"/>
      <c r="J29" s="9">
        <f>22090+27800*11</f>
        <v>327890</v>
      </c>
      <c r="K29" s="9">
        <f>322370</f>
        <v>322370</v>
      </c>
    </row>
    <row r="30" spans="1:11" s="1" customFormat="1" ht="15" x14ac:dyDescent="0.2">
      <c r="B30" s="13"/>
      <c r="C30" s="13"/>
      <c r="D30" s="13"/>
      <c r="J30" s="12"/>
      <c r="K30" s="12"/>
    </row>
    <row r="31" spans="1:11" s="1" customFormat="1" ht="15.75" x14ac:dyDescent="0.25">
      <c r="A31" s="6" t="s">
        <v>18</v>
      </c>
      <c r="B31" s="10" t="s">
        <v>17</v>
      </c>
      <c r="C31" s="10"/>
      <c r="D31" s="10"/>
      <c r="E31" s="10"/>
      <c r="J31" s="9">
        <f>43940*12</f>
        <v>527280</v>
      </c>
      <c r="K31" s="9">
        <f>145093.95+149350.29+140547.16+135396.08</f>
        <v>570387.48</v>
      </c>
    </row>
    <row r="32" spans="1:11" s="1" customFormat="1" ht="15" x14ac:dyDescent="0.2">
      <c r="C32" s="1" t="s">
        <v>16</v>
      </c>
      <c r="J32" s="12">
        <f>7500*12</f>
        <v>90000</v>
      </c>
      <c r="K32" s="12"/>
    </row>
    <row r="33" spans="1:14" s="1" customFormat="1" ht="15.75" x14ac:dyDescent="0.25">
      <c r="A33" s="6" t="s">
        <v>15</v>
      </c>
      <c r="B33" s="10" t="s">
        <v>14</v>
      </c>
      <c r="C33" s="10"/>
      <c r="D33" s="10"/>
      <c r="E33" s="10"/>
      <c r="F33" s="10"/>
      <c r="J33" s="9">
        <f>108620*12</f>
        <v>1303440</v>
      </c>
      <c r="K33" s="9">
        <f>296319.22+305234.91+295148.58+306318.75</f>
        <v>1203021.46</v>
      </c>
    </row>
    <row r="34" spans="1:14" s="1" customFormat="1" ht="15" x14ac:dyDescent="0.2">
      <c r="J34" s="12"/>
      <c r="K34" s="12"/>
    </row>
    <row r="35" spans="1:14" s="1" customFormat="1" ht="15.75" x14ac:dyDescent="0.25">
      <c r="A35" s="6" t="s">
        <v>13</v>
      </c>
      <c r="B35" s="6" t="s">
        <v>12</v>
      </c>
      <c r="J35" s="9">
        <f>7090*12</f>
        <v>85080</v>
      </c>
      <c r="K35" s="9">
        <f>70886.8+18288.33+0+0</f>
        <v>89175.13</v>
      </c>
    </row>
    <row r="36" spans="1:14" s="1" customFormat="1" ht="15.75" x14ac:dyDescent="0.25">
      <c r="A36" s="6"/>
      <c r="B36" s="6"/>
      <c r="J36" s="9"/>
      <c r="K36" s="9"/>
    </row>
    <row r="37" spans="1:14" s="1" customFormat="1" ht="15.75" x14ac:dyDescent="0.25">
      <c r="B37" s="6" t="s">
        <v>11</v>
      </c>
      <c r="J37" s="9">
        <f>J4+J10+J17+J22+J29+J31+J33+J35</f>
        <v>5478528.3499999996</v>
      </c>
      <c r="K37" s="9">
        <f>K4+K10+K17+K22+K29+K31+K33+K35</f>
        <v>5067251.95</v>
      </c>
      <c r="M37" s="11"/>
      <c r="N37" s="11"/>
    </row>
    <row r="38" spans="1:14" s="1" customFormat="1" ht="15.75" x14ac:dyDescent="0.25">
      <c r="B38" s="6" t="s">
        <v>10</v>
      </c>
      <c r="J38" s="12">
        <f>ROUND(J37*7/100,2)</f>
        <v>383496.98</v>
      </c>
      <c r="K38" s="12">
        <f>ROUND(K37*7/100,2)</f>
        <v>354707.64</v>
      </c>
      <c r="M38" s="11"/>
      <c r="N38" s="11"/>
    </row>
    <row r="39" spans="1:14" s="1" customFormat="1" ht="15.75" x14ac:dyDescent="0.25">
      <c r="B39" s="10" t="s">
        <v>9</v>
      </c>
      <c r="C39" s="10"/>
      <c r="D39" s="10"/>
      <c r="J39" s="9">
        <f>SUM(J37:J38)</f>
        <v>5862025.3300000001</v>
      </c>
      <c r="K39" s="9">
        <f>SUM(K37:K38)</f>
        <v>5421959.5899999999</v>
      </c>
    </row>
    <row r="40" spans="1:14" s="1" customFormat="1" ht="15.75" x14ac:dyDescent="0.25">
      <c r="B40" s="8"/>
      <c r="C40" s="8"/>
      <c r="D40" s="8"/>
      <c r="J40" s="9"/>
      <c r="K40" s="9"/>
    </row>
    <row r="41" spans="1:14" s="6" customFormat="1" ht="15.75" x14ac:dyDescent="0.25">
      <c r="A41" s="6" t="s">
        <v>8</v>
      </c>
      <c r="B41" s="6" t="s">
        <v>7</v>
      </c>
      <c r="J41" s="9">
        <f>73910*12</f>
        <v>886920</v>
      </c>
      <c r="K41" s="9">
        <f>221717.73+221718.24+223644.16+229109.18</f>
        <v>896189.31</v>
      </c>
    </row>
    <row r="42" spans="1:14" s="6" customFormat="1" ht="15.75" x14ac:dyDescent="0.25">
      <c r="J42" s="9"/>
      <c r="K42" s="9"/>
    </row>
    <row r="43" spans="1:14" s="6" customFormat="1" ht="15.75" x14ac:dyDescent="0.25">
      <c r="B43" s="6" t="s">
        <v>6</v>
      </c>
      <c r="J43" s="9">
        <f>J39+J41</f>
        <v>6748945.3300000001</v>
      </c>
      <c r="K43" s="9">
        <f>K41+K39</f>
        <v>6318148.9000000004</v>
      </c>
    </row>
    <row r="44" spans="1:14" s="6" customFormat="1" ht="15.75" x14ac:dyDescent="0.25">
      <c r="J44" s="9"/>
      <c r="K44" s="9"/>
    </row>
    <row r="45" spans="1:14" s="6" customFormat="1" ht="15.75" x14ac:dyDescent="0.25">
      <c r="A45" s="10" t="s">
        <v>5</v>
      </c>
      <c r="B45" s="10"/>
      <c r="C45" s="10"/>
      <c r="D45" s="10"/>
      <c r="J45" s="9"/>
      <c r="K45" s="9">
        <f>1687237.62+1687237.62+1697152.08+1697152.08</f>
        <v>6768779.4000000004</v>
      </c>
    </row>
    <row r="46" spans="1:14" s="6" customFormat="1" ht="15.75" x14ac:dyDescent="0.25">
      <c r="A46" s="8"/>
      <c r="B46" s="8"/>
      <c r="C46" s="8"/>
      <c r="D46" s="8"/>
      <c r="J46" s="9"/>
      <c r="K46" s="9"/>
    </row>
    <row r="47" spans="1:14" s="6" customFormat="1" ht="15.75" x14ac:dyDescent="0.25">
      <c r="A47" s="10" t="s">
        <v>4</v>
      </c>
      <c r="B47" s="10"/>
      <c r="C47" s="10"/>
      <c r="D47" s="10"/>
      <c r="E47" s="10"/>
      <c r="F47" s="10"/>
      <c r="J47" s="9"/>
      <c r="K47" s="9">
        <f>6551400.33+6445.07</f>
        <v>6557845.4000000004</v>
      </c>
    </row>
    <row r="48" spans="1:14" s="6" customFormat="1" ht="15.75" x14ac:dyDescent="0.25">
      <c r="A48" s="8"/>
      <c r="B48" s="8"/>
      <c r="C48" s="8"/>
      <c r="D48" s="8"/>
      <c r="E48" s="8"/>
      <c r="F48" s="8"/>
      <c r="J48" s="7"/>
      <c r="K48" s="7"/>
    </row>
    <row r="49" spans="2:11" s="1" customFormat="1" ht="15" x14ac:dyDescent="0.2">
      <c r="J49" s="2"/>
      <c r="K49" s="2"/>
    </row>
    <row r="50" spans="2:11" s="1" customFormat="1" ht="15" x14ac:dyDescent="0.2">
      <c r="B50" s="1" t="s">
        <v>3</v>
      </c>
      <c r="J50" s="5" t="s">
        <v>2</v>
      </c>
      <c r="K50" s="2"/>
    </row>
    <row r="51" spans="2:11" s="1" customFormat="1" ht="15" x14ac:dyDescent="0.2">
      <c r="J51" s="5"/>
      <c r="K51" s="2"/>
    </row>
    <row r="52" spans="2:11" s="1" customFormat="1" ht="15" x14ac:dyDescent="0.2">
      <c r="J52" s="2"/>
      <c r="K52" s="2"/>
    </row>
    <row r="53" spans="2:11" s="1" customFormat="1" ht="15" x14ac:dyDescent="0.2">
      <c r="B53" s="1" t="s">
        <v>1</v>
      </c>
      <c r="I53" s="4"/>
      <c r="J53" s="3" t="s">
        <v>0</v>
      </c>
      <c r="K53" s="2"/>
    </row>
    <row r="54" spans="2:11" s="1" customFormat="1" ht="15" x14ac:dyDescent="0.2">
      <c r="J54" s="2"/>
      <c r="K54" s="2"/>
    </row>
    <row r="55" spans="2:11" s="1" customFormat="1" ht="15" x14ac:dyDescent="0.2">
      <c r="J55" s="2"/>
      <c r="K55" s="2"/>
    </row>
    <row r="56" spans="2:11" s="1" customFormat="1" ht="15" x14ac:dyDescent="0.2">
      <c r="J56" s="2"/>
      <c r="K56" s="2"/>
    </row>
    <row r="57" spans="2:11" s="1" customFormat="1" ht="15" x14ac:dyDescent="0.2"/>
    <row r="58" spans="2:11" s="1" customFormat="1" ht="15" x14ac:dyDescent="0.2"/>
    <row r="59" spans="2:11" s="1" customFormat="1" ht="15" x14ac:dyDescent="0.2"/>
    <row r="60" spans="2:11" s="1" customFormat="1" ht="15" x14ac:dyDescent="0.2"/>
    <row r="61" spans="2:11" s="1" customFormat="1" ht="15" x14ac:dyDescent="0.2"/>
    <row r="62" spans="2:11" s="1" customFormat="1" ht="15" x14ac:dyDescent="0.2"/>
    <row r="63" spans="2:11" s="1" customFormat="1" ht="15" x14ac:dyDescent="0.2"/>
    <row r="64" spans="2:11" s="1" customFormat="1" ht="15" x14ac:dyDescent="0.2"/>
    <row r="65" s="1" customFormat="1" ht="15" x14ac:dyDescent="0.2"/>
    <row r="66" s="1" customFormat="1" ht="15" x14ac:dyDescent="0.2"/>
    <row r="67" s="1" customFormat="1" ht="15" x14ac:dyDescent="0.2"/>
    <row r="68" s="1" customFormat="1" ht="15" x14ac:dyDescent="0.2"/>
    <row r="69" s="1" customFormat="1" ht="15" x14ac:dyDescent="0.2"/>
    <row r="70" s="1" customFormat="1" ht="15" x14ac:dyDescent="0.2"/>
    <row r="71" s="1" customFormat="1" ht="15" x14ac:dyDescent="0.2"/>
    <row r="72" s="1" customFormat="1" ht="15" x14ac:dyDescent="0.2"/>
    <row r="73" s="1" customFormat="1" ht="15" x14ac:dyDescent="0.2"/>
    <row r="74" s="1" customFormat="1" ht="15" x14ac:dyDescent="0.2"/>
    <row r="75" s="1" customFormat="1" ht="15" x14ac:dyDescent="0.2"/>
    <row r="76" s="1" customFormat="1" ht="15" x14ac:dyDescent="0.2"/>
    <row r="77" s="1" customFormat="1" ht="15" x14ac:dyDescent="0.2"/>
    <row r="78" s="1" customFormat="1" ht="15" x14ac:dyDescent="0.2"/>
    <row r="79" s="1" customFormat="1" ht="15" x14ac:dyDescent="0.2"/>
    <row r="80" s="1" customFormat="1" ht="15" x14ac:dyDescent="0.2"/>
    <row r="81" s="1" customFormat="1" ht="15" x14ac:dyDescent="0.2"/>
    <row r="82" s="1" customFormat="1" ht="15" x14ac:dyDescent="0.2"/>
    <row r="83" s="1" customFormat="1" ht="15" x14ac:dyDescent="0.2"/>
    <row r="84" s="1" customFormat="1" ht="15" x14ac:dyDescent="0.2"/>
    <row r="85" s="1" customFormat="1" ht="15" x14ac:dyDescent="0.2"/>
    <row r="86" s="1" customFormat="1" ht="15" x14ac:dyDescent="0.2"/>
    <row r="87" s="1" customFormat="1" ht="15" x14ac:dyDescent="0.2"/>
    <row r="88" s="1" customFormat="1" ht="15" x14ac:dyDescent="0.2"/>
    <row r="89" s="1" customFormat="1" ht="15" x14ac:dyDescent="0.2"/>
    <row r="90" s="1" customFormat="1" ht="15" x14ac:dyDescent="0.2"/>
    <row r="91" s="1" customFormat="1" ht="15" x14ac:dyDescent="0.2"/>
    <row r="92" s="1" customFormat="1" ht="15" x14ac:dyDescent="0.2"/>
    <row r="93" s="1" customFormat="1" ht="15" x14ac:dyDescent="0.2"/>
    <row r="94" s="1" customFormat="1" ht="15" x14ac:dyDescent="0.2"/>
    <row r="95" s="1" customFormat="1" ht="15" x14ac:dyDescent="0.2"/>
    <row r="96" s="1" customFormat="1" ht="15" x14ac:dyDescent="0.2"/>
    <row r="97" s="1" customFormat="1" ht="15" x14ac:dyDescent="0.2"/>
    <row r="98" s="1" customFormat="1" ht="15" x14ac:dyDescent="0.2"/>
    <row r="99" s="1" customFormat="1" ht="15" x14ac:dyDescent="0.2"/>
    <row r="100" s="1" customFormat="1" ht="15" x14ac:dyDescent="0.2"/>
    <row r="101" s="1" customFormat="1" ht="15" x14ac:dyDescent="0.2"/>
    <row r="102" s="1" customFormat="1" ht="15" x14ac:dyDescent="0.2"/>
    <row r="103" s="1" customFormat="1" ht="15" x14ac:dyDescent="0.2"/>
    <row r="104" s="1" customFormat="1" ht="15" x14ac:dyDescent="0.2"/>
    <row r="105" s="1" customFormat="1" ht="15" x14ac:dyDescent="0.2"/>
    <row r="106" s="1" customFormat="1" ht="15" x14ac:dyDescent="0.2"/>
    <row r="107" s="1" customFormat="1" ht="15" x14ac:dyDescent="0.2"/>
    <row r="108" s="1" customFormat="1" ht="15" x14ac:dyDescent="0.2"/>
    <row r="109" s="1" customFormat="1" ht="15" x14ac:dyDescent="0.2"/>
    <row r="110" s="1" customFormat="1" ht="15" x14ac:dyDescent="0.2"/>
    <row r="111" s="1" customFormat="1" ht="15" x14ac:dyDescent="0.2"/>
    <row r="112" s="1" customFormat="1" ht="15" x14ac:dyDescent="0.2"/>
    <row r="113" s="1" customFormat="1" ht="15" x14ac:dyDescent="0.2"/>
    <row r="114" s="1" customFormat="1" ht="15" x14ac:dyDescent="0.2"/>
    <row r="115" s="1" customFormat="1" ht="15" x14ac:dyDescent="0.2"/>
    <row r="116" s="1" customFormat="1" ht="15" x14ac:dyDescent="0.2"/>
    <row r="117" s="1" customFormat="1" ht="15" x14ac:dyDescent="0.2"/>
    <row r="118" s="1" customFormat="1" ht="15" x14ac:dyDescent="0.2"/>
    <row r="119" s="1" customFormat="1" ht="15" x14ac:dyDescent="0.2"/>
    <row r="120" s="1" customFormat="1" ht="15" x14ac:dyDescent="0.2"/>
    <row r="121" s="1" customFormat="1" ht="15" x14ac:dyDescent="0.2"/>
    <row r="122" s="1" customFormat="1" ht="15" x14ac:dyDescent="0.2"/>
    <row r="123" s="1" customFormat="1" ht="15" x14ac:dyDescent="0.2"/>
    <row r="124" s="1" customFormat="1" ht="15" x14ac:dyDescent="0.2"/>
    <row r="125" s="1" customFormat="1" ht="15" x14ac:dyDescent="0.2"/>
    <row r="126" s="1" customFormat="1" ht="15" x14ac:dyDescent="0.2"/>
    <row r="127" s="1" customFormat="1" ht="15" x14ac:dyDescent="0.2"/>
    <row r="128" s="1" customFormat="1" ht="15" x14ac:dyDescent="0.2"/>
    <row r="129" s="1" customFormat="1" ht="15" x14ac:dyDescent="0.2"/>
    <row r="130" s="1" customFormat="1" ht="15" x14ac:dyDescent="0.2"/>
    <row r="131" s="1" customFormat="1" ht="15" x14ac:dyDescent="0.2"/>
    <row r="132" s="1" customFormat="1" ht="15" x14ac:dyDescent="0.2"/>
    <row r="133" s="1" customFormat="1" ht="15" x14ac:dyDescent="0.2"/>
    <row r="134" s="1" customFormat="1" ht="15" x14ac:dyDescent="0.2"/>
    <row r="135" s="1" customFormat="1" ht="15" x14ac:dyDescent="0.2"/>
    <row r="136" s="1" customFormat="1" ht="15" x14ac:dyDescent="0.2"/>
    <row r="137" s="1" customFormat="1" ht="15" x14ac:dyDescent="0.2"/>
    <row r="138" s="1" customFormat="1" ht="15" x14ac:dyDescent="0.2"/>
    <row r="139" s="1" customFormat="1" ht="15" x14ac:dyDescent="0.2"/>
    <row r="140" s="1" customFormat="1" ht="15" x14ac:dyDescent="0.2"/>
    <row r="141" s="1" customFormat="1" ht="15" x14ac:dyDescent="0.2"/>
    <row r="142" s="1" customFormat="1" ht="15" x14ac:dyDescent="0.2"/>
    <row r="143" s="1" customFormat="1" ht="15" x14ac:dyDescent="0.2"/>
    <row r="144" s="1" customFormat="1" ht="15" x14ac:dyDescent="0.2"/>
    <row r="145" s="1" customFormat="1" ht="15" x14ac:dyDescent="0.2"/>
    <row r="146" s="1" customFormat="1" ht="15" x14ac:dyDescent="0.2"/>
    <row r="147" s="1" customFormat="1" ht="15" x14ac:dyDescent="0.2"/>
    <row r="148" s="1" customFormat="1" ht="15" x14ac:dyDescent="0.2"/>
    <row r="149" s="1" customFormat="1" ht="15" x14ac:dyDescent="0.2"/>
    <row r="150" s="1" customFormat="1" ht="15" x14ac:dyDescent="0.2"/>
    <row r="151" s="1" customFormat="1" ht="15" x14ac:dyDescent="0.2"/>
    <row r="152" s="1" customFormat="1" ht="15" x14ac:dyDescent="0.2"/>
    <row r="153" s="1" customFormat="1" ht="15" x14ac:dyDescent="0.2"/>
    <row r="154" s="1" customFormat="1" ht="15" x14ac:dyDescent="0.2"/>
    <row r="155" s="1" customFormat="1" ht="15" x14ac:dyDescent="0.2"/>
    <row r="156" s="1" customFormat="1" ht="15" x14ac:dyDescent="0.2"/>
    <row r="157" s="1" customFormat="1" ht="15" x14ac:dyDescent="0.2"/>
    <row r="158" s="1" customFormat="1" ht="15" x14ac:dyDescent="0.2"/>
    <row r="159" s="1" customFormat="1" ht="15" x14ac:dyDescent="0.2"/>
    <row r="160" s="1" customFormat="1" ht="15" x14ac:dyDescent="0.2"/>
    <row r="161" s="1" customFormat="1" ht="15" x14ac:dyDescent="0.2"/>
    <row r="162" s="1" customFormat="1" ht="15" x14ac:dyDescent="0.2"/>
    <row r="163" s="1" customFormat="1" ht="15" x14ac:dyDescent="0.2"/>
    <row r="164" s="1" customFormat="1" ht="15" x14ac:dyDescent="0.2"/>
    <row r="165" s="1" customFormat="1" ht="15" x14ac:dyDescent="0.2"/>
    <row r="166" s="1" customFormat="1" ht="15" x14ac:dyDescent="0.2"/>
    <row r="167" s="1" customFormat="1" ht="15" x14ac:dyDescent="0.2"/>
    <row r="168" s="1" customFormat="1" ht="15" x14ac:dyDescent="0.2"/>
    <row r="169" s="1" customFormat="1" ht="15" x14ac:dyDescent="0.2"/>
    <row r="170" s="1" customFormat="1" ht="15" x14ac:dyDescent="0.2"/>
    <row r="171" s="1" customFormat="1" ht="15" x14ac:dyDescent="0.2"/>
    <row r="172" s="1" customFormat="1" ht="15" x14ac:dyDescent="0.2"/>
    <row r="173" s="1" customFormat="1" ht="15" x14ac:dyDescent="0.2"/>
    <row r="174" s="1" customFormat="1" ht="15" x14ac:dyDescent="0.2"/>
    <row r="175" s="1" customFormat="1" ht="15" x14ac:dyDescent="0.2"/>
    <row r="176" s="1" customFormat="1" ht="15" x14ac:dyDescent="0.2"/>
  </sheetData>
  <mergeCells count="21">
    <mergeCell ref="A47:F47"/>
    <mergeCell ref="C23:D23"/>
    <mergeCell ref="C24:G24"/>
    <mergeCell ref="C25:H25"/>
    <mergeCell ref="B31:E31"/>
    <mergeCell ref="B33:F33"/>
    <mergeCell ref="B39:D39"/>
    <mergeCell ref="A45:D45"/>
    <mergeCell ref="C19:H19"/>
    <mergeCell ref="C18:G18"/>
    <mergeCell ref="C11:F11"/>
    <mergeCell ref="C12:H12"/>
    <mergeCell ref="B17:H17"/>
    <mergeCell ref="C13:D13"/>
    <mergeCell ref="B10:F10"/>
    <mergeCell ref="A1:K1"/>
    <mergeCell ref="A2:K2"/>
    <mergeCell ref="B4:H4"/>
    <mergeCell ref="C5:F5"/>
    <mergeCell ref="C6:F6"/>
    <mergeCell ref="C7:E7"/>
  </mergeCells>
  <pageMargins left="0.59055118110236227" right="0.19685039370078741" top="0.19685039370078741" bottom="0.19685039370078741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26-1 Металл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dcterms:created xsi:type="dcterms:W3CDTF">2021-03-26T10:43:39Z</dcterms:created>
  <dcterms:modified xsi:type="dcterms:W3CDTF">2021-03-26T10:43:47Z</dcterms:modified>
</cp:coreProperties>
</file>