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Для сайта\Потенциал\"/>
    </mc:Choice>
  </mc:AlternateContent>
  <bookViews>
    <workbookView xWindow="0" yWindow="0" windowWidth="19200" windowHeight="11595"/>
  </bookViews>
  <sheets>
    <sheet name="27 У фонтана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K5" i="1"/>
  <c r="K4" i="1" s="1"/>
  <c r="J6" i="1"/>
  <c r="K6" i="1"/>
  <c r="J7" i="1"/>
  <c r="K7" i="1"/>
  <c r="J8" i="1"/>
  <c r="K8" i="1"/>
  <c r="J9" i="1"/>
  <c r="K9" i="1"/>
  <c r="J12" i="1"/>
  <c r="K12" i="1"/>
  <c r="K11" i="1" s="1"/>
  <c r="J13" i="1"/>
  <c r="K13" i="1"/>
  <c r="J14" i="1"/>
  <c r="K14" i="1"/>
  <c r="J15" i="1"/>
  <c r="K15" i="1"/>
  <c r="J16" i="1"/>
  <c r="J17" i="1"/>
  <c r="J18" i="1"/>
  <c r="J20" i="1"/>
  <c r="J19" i="1" s="1"/>
  <c r="K20" i="1"/>
  <c r="K19" i="1" s="1"/>
  <c r="J21" i="1"/>
  <c r="K21" i="1"/>
  <c r="J22" i="1"/>
  <c r="K22" i="1"/>
  <c r="J24" i="1"/>
  <c r="K25" i="1"/>
  <c r="K26" i="1"/>
  <c r="K24" i="1" s="1"/>
  <c r="K27" i="1"/>
  <c r="J31" i="1"/>
  <c r="K31" i="1"/>
  <c r="J33" i="1"/>
  <c r="K33" i="1"/>
  <c r="J35" i="1"/>
  <c r="K35" i="1"/>
  <c r="J37" i="1"/>
  <c r="K37" i="1"/>
  <c r="J39" i="1"/>
  <c r="K39" i="1"/>
  <c r="K45" i="1"/>
  <c r="K47" i="1"/>
  <c r="K41" i="1" l="1"/>
  <c r="J11" i="1"/>
  <c r="J4" i="1"/>
  <c r="J41" i="1" s="1"/>
  <c r="J42" i="1" l="1"/>
  <c r="J43" i="1" s="1"/>
  <c r="K42" i="1"/>
  <c r="K43" i="1" s="1"/>
</calcChain>
</file>

<file path=xl/sharedStrings.xml><?xml version="1.0" encoding="utf-8"?>
<sst xmlns="http://schemas.openxmlformats.org/spreadsheetml/2006/main" count="71" uniqueCount="71">
  <si>
    <t>Шигапов Ю. М.</t>
  </si>
  <si>
    <t>Председатель ТСЖ "У фонтана"</t>
  </si>
  <si>
    <t>Хренов Д.В.</t>
  </si>
  <si>
    <t>Директор ООО "Потенциал"</t>
  </si>
  <si>
    <t>Сумма поступлений от населения:</t>
  </si>
  <si>
    <t>Сумма начисления:</t>
  </si>
  <si>
    <t>Всего расходов:</t>
  </si>
  <si>
    <t>Рентабельность</t>
  </si>
  <si>
    <t>Итого:</t>
  </si>
  <si>
    <t>Расходы на ОДН (ГВС, ГВС, эл. эн.)</t>
  </si>
  <si>
    <t>9.</t>
  </si>
  <si>
    <t>Внеэксплуатационные расходы:</t>
  </si>
  <si>
    <t>8.</t>
  </si>
  <si>
    <t>Общеэксплуатационные расходы:</t>
  </si>
  <si>
    <t>7.</t>
  </si>
  <si>
    <t>Прочие прямые затраты:</t>
  </si>
  <si>
    <t>6.</t>
  </si>
  <si>
    <t>Отчисления в ТСЖ</t>
  </si>
  <si>
    <t>5.</t>
  </si>
  <si>
    <t>Промывка теплообменников</t>
  </si>
  <si>
    <t>4.5.</t>
  </si>
  <si>
    <t>Ремонт межпанельных швов</t>
  </si>
  <si>
    <t>4.4.</t>
  </si>
  <si>
    <t>Прочее: (с/о, инвентарь)</t>
  </si>
  <si>
    <t>4.3.</t>
  </si>
  <si>
    <t>Заявочный ремонт, проф. осмотр</t>
  </si>
  <si>
    <t>4.2.</t>
  </si>
  <si>
    <t>ППР (акты Ф-2)</t>
  </si>
  <si>
    <t>4.1.</t>
  </si>
  <si>
    <t>Тех. обслуж. и тек. ремонт общедом. имущества</t>
  </si>
  <si>
    <t>4.</t>
  </si>
  <si>
    <t>Страхование лифтов</t>
  </si>
  <si>
    <t>3.3.</t>
  </si>
  <si>
    <t>Диагностическое обследование лифтов:</t>
  </si>
  <si>
    <t>3.2.</t>
  </si>
  <si>
    <t>Техническое обслуживание лифтов</t>
  </si>
  <si>
    <t>3.1.</t>
  </si>
  <si>
    <t>Содержание и обслуживание лифтового хоз.</t>
  </si>
  <si>
    <t>3.</t>
  </si>
  <si>
    <t>Тех.диагн.внутрид.газового обор.</t>
  </si>
  <si>
    <t>2.7.</t>
  </si>
  <si>
    <t>Проверка вент. Каналов</t>
  </si>
  <si>
    <t>2.6.</t>
  </si>
  <si>
    <t>Рязаньгоргаз</t>
  </si>
  <si>
    <t>2.5.</t>
  </si>
  <si>
    <t>Услуга АРС (Аварийно-ремонтной службы)</t>
  </si>
  <si>
    <t>2.4.</t>
  </si>
  <si>
    <t>Дератизация, дезинсекция</t>
  </si>
  <si>
    <t>2.3.</t>
  </si>
  <si>
    <t>Захоронение</t>
  </si>
  <si>
    <t>2.2.</t>
  </si>
  <si>
    <t>Вывоз ТБО</t>
  </si>
  <si>
    <t>2.1.</t>
  </si>
  <si>
    <t>Содержание домохозяйства :</t>
  </si>
  <si>
    <t>2.</t>
  </si>
  <si>
    <t>Прочее: (уборка снега, окос)</t>
  </si>
  <si>
    <t>1.5.</t>
  </si>
  <si>
    <t>Затраты на вывоз КГМ</t>
  </si>
  <si>
    <t>1.4.</t>
  </si>
  <si>
    <t>С/о и инвентарь :</t>
  </si>
  <si>
    <t>1.3.</t>
  </si>
  <si>
    <t>Начисление на зарплату 20.28%</t>
  </si>
  <si>
    <t>1.2.</t>
  </si>
  <si>
    <t>Зарплата дворников, уборщицы, рабочих м/пр</t>
  </si>
  <si>
    <t>1.1.</t>
  </si>
  <si>
    <t>Благоустройство и сан. очистка домовладений :</t>
  </si>
  <si>
    <t>1.</t>
  </si>
  <si>
    <r>
      <t>Факт</t>
    </r>
    <r>
      <rPr>
        <sz val="12"/>
        <rFont val="Arial Cyr"/>
        <charset val="204"/>
      </rPr>
      <t>, руб.</t>
    </r>
  </si>
  <si>
    <r>
      <t>План</t>
    </r>
    <r>
      <rPr>
        <sz val="12"/>
        <rFont val="Arial Cyr"/>
        <charset val="204"/>
      </rPr>
      <t>, руб.</t>
    </r>
  </si>
  <si>
    <t>ТСЖ "У фонтана", ул. Зубковой д. 27 за январь-декабрь 2018 г.</t>
  </si>
  <si>
    <t xml:space="preserve">ОТЧЁТ по расходам на обслуживание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</si>
</sst>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р_._-;\-* #,##0.00\ _р_._-;_-* &quot;-&quot;??\ _р_._-;_-@_-"/>
    <numFmt numFmtId="165" formatCode="_-* #,##0.00_р_._-;\-* #,##0.00_р_._-;_-* &quot;-&quot;??_р_._-;_-@_-"/>
  </numFmts>
  <fonts count="5" x14ac:knownFonts="1">
    <font>
      <sz val="10"/>
      <name val="Arial Cyr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b/>
      <sz val="12"/>
      <name val="Arial Cyr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" fontId="0" fillId="0" borderId="0" xfId="0" applyNumberFormat="1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164" fontId="1" fillId="0" borderId="0" xfId="0" applyNumberFormat="1" applyFont="1"/>
    <xf numFmtId="165" fontId="1" fillId="0" borderId="0" xfId="0" applyNumberFormat="1" applyFont="1"/>
    <xf numFmtId="49" fontId="1" fillId="0" borderId="0" xfId="0" applyNumberFormat="1" applyFont="1"/>
    <xf numFmtId="0" fontId="3" fillId="0" borderId="0" xfId="0" applyFont="1"/>
    <xf numFmtId="4" fontId="3" fillId="0" borderId="0" xfId="0" applyNumberFormat="1" applyFont="1"/>
    <xf numFmtId="165" fontId="3" fillId="0" borderId="0" xfId="0" applyNumberFormat="1" applyFont="1" applyBorder="1"/>
    <xf numFmtId="0" fontId="3" fillId="0" borderId="0" xfId="0" applyFont="1" applyAlignment="1">
      <alignment horizontal="left"/>
    </xf>
    <xf numFmtId="165" fontId="3" fillId="0" borderId="1" xfId="0" applyNumberFormat="1" applyFont="1" applyBorder="1"/>
    <xf numFmtId="0" fontId="3" fillId="0" borderId="0" xfId="0" applyFont="1" applyAlignment="1">
      <alignment horizontal="left"/>
    </xf>
    <xf numFmtId="165" fontId="1" fillId="0" borderId="1" xfId="0" applyNumberFormat="1" applyFont="1" applyBorder="1"/>
    <xf numFmtId="0" fontId="1" fillId="0" borderId="0" xfId="0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3" fillId="0" borderId="0" xfId="0" applyFont="1" applyAlignment="1"/>
    <xf numFmtId="164" fontId="1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4" fontId="4" fillId="0" borderId="0" xfId="0" applyNumberFormat="1" applyFont="1"/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6"/>
  <sheetViews>
    <sheetView tabSelected="1" workbookViewId="0">
      <selection activeCell="L5" sqref="L5:M8"/>
    </sheetView>
  </sheetViews>
  <sheetFormatPr defaultRowHeight="12.75" x14ac:dyDescent="0.2"/>
  <cols>
    <col min="1" max="1" width="2.85546875" customWidth="1"/>
    <col min="2" max="2" width="4" customWidth="1"/>
    <col min="3" max="5" width="8.5703125" customWidth="1"/>
    <col min="6" max="6" width="10.140625" customWidth="1"/>
    <col min="7" max="7" width="8.5703125" customWidth="1"/>
    <col min="8" max="8" width="5.140625" customWidth="1"/>
    <col min="9" max="9" width="2.140625" customWidth="1"/>
    <col min="10" max="11" width="17.7109375" customWidth="1"/>
    <col min="12" max="12" width="2" customWidth="1"/>
    <col min="13" max="13" width="16" style="1" customWidth="1"/>
    <col min="14" max="14" width="18.140625" style="1" customWidth="1"/>
    <col min="15" max="15" width="9.140625" style="1"/>
  </cols>
  <sheetData>
    <row r="1" spans="1:15" s="21" customFormat="1" ht="18" x14ac:dyDescent="0.25">
      <c r="A1" s="23" t="s">
        <v>70</v>
      </c>
      <c r="B1" s="23"/>
      <c r="C1" s="23"/>
      <c r="D1" s="23"/>
      <c r="E1" s="23"/>
      <c r="F1" s="23"/>
      <c r="G1" s="23"/>
      <c r="H1" s="23"/>
      <c r="I1" s="23"/>
      <c r="J1" s="23"/>
      <c r="K1" s="23"/>
      <c r="M1" s="22"/>
      <c r="N1" s="22"/>
      <c r="O1" s="22"/>
    </row>
    <row r="2" spans="1:15" s="21" customFormat="1" ht="18" x14ac:dyDescent="0.25">
      <c r="A2" s="23" t="s">
        <v>69</v>
      </c>
      <c r="B2" s="23"/>
      <c r="C2" s="23"/>
      <c r="D2" s="23"/>
      <c r="E2" s="23"/>
      <c r="F2" s="23"/>
      <c r="G2" s="23"/>
      <c r="H2" s="23"/>
      <c r="I2" s="23"/>
      <c r="J2" s="23"/>
      <c r="K2" s="23"/>
      <c r="M2" s="22"/>
      <c r="N2" s="22"/>
      <c r="O2" s="22"/>
    </row>
    <row r="3" spans="1:15" s="2" customFormat="1" ht="15.75" x14ac:dyDescent="0.25">
      <c r="J3" s="20" t="s">
        <v>68</v>
      </c>
      <c r="K3" s="20" t="s">
        <v>67</v>
      </c>
      <c r="M3" s="3"/>
      <c r="N3" s="3"/>
      <c r="O3" s="3"/>
    </row>
    <row r="4" spans="1:15" s="2" customFormat="1" ht="15.75" x14ac:dyDescent="0.25">
      <c r="A4" s="8" t="s">
        <v>66</v>
      </c>
      <c r="B4" s="13" t="s">
        <v>65</v>
      </c>
      <c r="C4" s="13"/>
      <c r="D4" s="13"/>
      <c r="E4" s="13"/>
      <c r="F4" s="13"/>
      <c r="G4" s="13"/>
      <c r="H4" s="13"/>
      <c r="J4" s="12">
        <f>SUM(J5:J9)</f>
        <v>716588</v>
      </c>
      <c r="K4" s="12">
        <f>SUM(K5:K9)</f>
        <v>691388.47</v>
      </c>
      <c r="M4" s="3"/>
      <c r="N4" s="3"/>
      <c r="O4" s="3"/>
    </row>
    <row r="5" spans="1:15" s="2" customFormat="1" ht="15" x14ac:dyDescent="0.2">
      <c r="B5" s="2" t="s">
        <v>64</v>
      </c>
      <c r="C5" s="16" t="s">
        <v>63</v>
      </c>
      <c r="D5" s="16"/>
      <c r="E5" s="16"/>
      <c r="F5" s="16"/>
      <c r="J5" s="14">
        <f>43415*10+43497*2</f>
        <v>521144</v>
      </c>
      <c r="K5" s="14">
        <f>125060.66+140111.93+122493.47+131883.19</f>
        <v>519549.24999999994</v>
      </c>
      <c r="M5" s="3"/>
      <c r="N5" s="3"/>
      <c r="O5" s="3"/>
    </row>
    <row r="6" spans="1:15" s="2" customFormat="1" ht="15" x14ac:dyDescent="0.2">
      <c r="B6" s="2" t="s">
        <v>62</v>
      </c>
      <c r="C6" s="17" t="s">
        <v>61</v>
      </c>
      <c r="D6" s="17"/>
      <c r="E6" s="17"/>
      <c r="F6" s="17"/>
      <c r="J6" s="19">
        <f>78930+35112</f>
        <v>114042</v>
      </c>
      <c r="K6" s="19">
        <f>ROUND(K5*20.28/100,2)</f>
        <v>105364.59</v>
      </c>
    </row>
    <row r="7" spans="1:15" s="2" customFormat="1" ht="15" x14ac:dyDescent="0.2">
      <c r="B7" s="2" t="s">
        <v>60</v>
      </c>
      <c r="C7" s="17" t="s">
        <v>59</v>
      </c>
      <c r="D7" s="17"/>
      <c r="E7" s="17"/>
      <c r="J7" s="14">
        <f>1064*10+1021*2</f>
        <v>12682</v>
      </c>
      <c r="K7" s="14">
        <f>2741.74+3997.05+3030.43+2231.89</f>
        <v>12001.109999999999</v>
      </c>
      <c r="M7" s="3"/>
      <c r="N7" s="3"/>
      <c r="O7" s="3"/>
    </row>
    <row r="8" spans="1:15" s="2" customFormat="1" ht="15" x14ac:dyDescent="0.2">
      <c r="B8" s="2" t="s">
        <v>58</v>
      </c>
      <c r="C8" s="2" t="s">
        <v>57</v>
      </c>
      <c r="J8" s="14">
        <f>4950*10+4400*2</f>
        <v>58300</v>
      </c>
      <c r="K8" s="14">
        <f>12071.2+13580.1+13580.1+12825.65</f>
        <v>52057.05</v>
      </c>
      <c r="M8" s="3"/>
      <c r="N8" s="3"/>
      <c r="O8" s="3"/>
    </row>
    <row r="9" spans="1:15" s="2" customFormat="1" ht="15" x14ac:dyDescent="0.2">
      <c r="B9" s="2" t="s">
        <v>56</v>
      </c>
      <c r="C9" s="2" t="s">
        <v>55</v>
      </c>
      <c r="J9" s="14">
        <f>991*10+255*2</f>
        <v>10420</v>
      </c>
      <c r="K9" s="14">
        <f>0+1650.55+0+765.92</f>
        <v>2416.4699999999998</v>
      </c>
      <c r="M9" s="3"/>
      <c r="N9" s="3"/>
      <c r="O9" s="3"/>
    </row>
    <row r="10" spans="1:15" s="2" customFormat="1" ht="15" x14ac:dyDescent="0.2">
      <c r="J10" s="14"/>
      <c r="K10" s="14"/>
      <c r="M10" s="3"/>
      <c r="N10" s="3"/>
      <c r="O10" s="3"/>
    </row>
    <row r="11" spans="1:15" s="2" customFormat="1" ht="15.75" x14ac:dyDescent="0.25">
      <c r="A11" s="8" t="s">
        <v>54</v>
      </c>
      <c r="B11" s="13" t="s">
        <v>53</v>
      </c>
      <c r="C11" s="13"/>
      <c r="D11" s="13"/>
      <c r="E11" s="13"/>
      <c r="F11" s="13"/>
      <c r="J11" s="12">
        <f>SUM(J12:J18)</f>
        <v>492940</v>
      </c>
      <c r="K11" s="12">
        <f>SUM(K12:K18)</f>
        <v>764916.72000000009</v>
      </c>
      <c r="M11" s="3"/>
      <c r="N11" s="3"/>
      <c r="O11" s="3"/>
    </row>
    <row r="12" spans="1:15" s="2" customFormat="1" ht="15" x14ac:dyDescent="0.2">
      <c r="B12" s="15" t="s">
        <v>52</v>
      </c>
      <c r="C12" s="17" t="s">
        <v>51</v>
      </c>
      <c r="D12" s="17"/>
      <c r="E12" s="15"/>
      <c r="F12" s="15"/>
      <c r="J12" s="14">
        <f>13854*10+13340*2</f>
        <v>165220</v>
      </c>
      <c r="K12" s="14">
        <f>73980+74802+75624+75624</f>
        <v>300030</v>
      </c>
      <c r="M12" s="3"/>
      <c r="N12" s="3"/>
      <c r="O12" s="3"/>
    </row>
    <row r="13" spans="1:15" s="2" customFormat="1" ht="15" x14ac:dyDescent="0.2">
      <c r="B13" s="2" t="s">
        <v>50</v>
      </c>
      <c r="C13" s="17" t="s">
        <v>49</v>
      </c>
      <c r="D13" s="17"/>
      <c r="E13" s="17"/>
      <c r="J13" s="14">
        <f>13955*10+14022*2</f>
        <v>167594</v>
      </c>
      <c r="K13" s="14">
        <f>77760+78624+79488+79488</f>
        <v>315360</v>
      </c>
      <c r="M13" s="3"/>
      <c r="N13" s="3"/>
      <c r="O13" s="3"/>
    </row>
    <row r="14" spans="1:15" s="2" customFormat="1" ht="15" x14ac:dyDescent="0.2">
      <c r="B14" s="2" t="s">
        <v>48</v>
      </c>
      <c r="C14" s="17" t="s">
        <v>47</v>
      </c>
      <c r="D14" s="17"/>
      <c r="E14" s="17"/>
      <c r="F14" s="17"/>
      <c r="J14" s="14">
        <f>533*12</f>
        <v>6396</v>
      </c>
      <c r="K14" s="14">
        <f>1599.39+1599.39+1599.39+1599.39</f>
        <v>6397.56</v>
      </c>
      <c r="M14" s="3"/>
      <c r="N14" s="3"/>
      <c r="O14" s="3"/>
    </row>
    <row r="15" spans="1:15" s="2" customFormat="1" ht="15" x14ac:dyDescent="0.2">
      <c r="B15" s="2" t="s">
        <v>46</v>
      </c>
      <c r="C15" s="17" t="s">
        <v>45</v>
      </c>
      <c r="D15" s="17"/>
      <c r="E15" s="17"/>
      <c r="F15" s="17"/>
      <c r="G15" s="17"/>
      <c r="H15" s="17"/>
      <c r="J15" s="14">
        <f>5170*12</f>
        <v>62040</v>
      </c>
      <c r="K15" s="14">
        <f>15509.79+15509.79+15509.79+15509.79</f>
        <v>62039.16</v>
      </c>
      <c r="M15" s="3"/>
      <c r="N15" s="3"/>
      <c r="O15" s="3"/>
    </row>
    <row r="16" spans="1:15" s="2" customFormat="1" ht="15" x14ac:dyDescent="0.2">
      <c r="B16" s="2" t="s">
        <v>44</v>
      </c>
      <c r="C16" s="16" t="s">
        <v>43</v>
      </c>
      <c r="D16" s="16"/>
      <c r="E16" s="16"/>
      <c r="F16" s="16"/>
      <c r="J16" s="14">
        <f>6758*12</f>
        <v>81096</v>
      </c>
      <c r="K16" s="14">
        <v>81090</v>
      </c>
      <c r="M16" s="3"/>
      <c r="N16" s="3"/>
      <c r="O16" s="3"/>
    </row>
    <row r="17" spans="1:15" s="2" customFormat="1" ht="15" x14ac:dyDescent="0.2">
      <c r="B17" s="2" t="s">
        <v>42</v>
      </c>
      <c r="C17" s="15" t="s">
        <v>41</v>
      </c>
      <c r="D17" s="16"/>
      <c r="E17" s="16"/>
      <c r="F17" s="16"/>
      <c r="J17" s="14">
        <f>480*2</f>
        <v>960</v>
      </c>
      <c r="K17" s="14">
        <v>0</v>
      </c>
      <c r="M17" s="3"/>
      <c r="N17" s="3"/>
      <c r="O17" s="3"/>
    </row>
    <row r="18" spans="1:15" s="2" customFormat="1" ht="15" x14ac:dyDescent="0.2">
      <c r="B18" s="2" t="s">
        <v>40</v>
      </c>
      <c r="C18" s="15" t="s">
        <v>39</v>
      </c>
      <c r="D18" s="16"/>
      <c r="E18" s="16"/>
      <c r="F18" s="16"/>
      <c r="J18" s="14">
        <f>4817*2</f>
        <v>9634</v>
      </c>
      <c r="K18" s="14">
        <v>0</v>
      </c>
      <c r="M18" s="3"/>
      <c r="N18" s="3"/>
      <c r="O18" s="3"/>
    </row>
    <row r="19" spans="1:15" s="2" customFormat="1" ht="15.75" x14ac:dyDescent="0.25">
      <c r="A19" s="8" t="s">
        <v>38</v>
      </c>
      <c r="B19" s="13" t="s">
        <v>37</v>
      </c>
      <c r="C19" s="13"/>
      <c r="D19" s="13"/>
      <c r="E19" s="13"/>
      <c r="F19" s="13"/>
      <c r="G19" s="13"/>
      <c r="H19" s="13"/>
      <c r="J19" s="12">
        <f>SUM(J20:J22)</f>
        <v>573788</v>
      </c>
      <c r="K19" s="12">
        <f>SUM(K20:K22)</f>
        <v>552853.60000000009</v>
      </c>
      <c r="M19" s="3"/>
      <c r="N19" s="3"/>
      <c r="O19" s="3"/>
    </row>
    <row r="20" spans="1:15" s="2" customFormat="1" ht="15" x14ac:dyDescent="0.2">
      <c r="B20" s="15" t="s">
        <v>36</v>
      </c>
      <c r="C20" s="17" t="s">
        <v>35</v>
      </c>
      <c r="D20" s="17"/>
      <c r="E20" s="17"/>
      <c r="F20" s="17"/>
      <c r="G20" s="17"/>
      <c r="J20" s="14">
        <f>45504*10+38292*2</f>
        <v>531624</v>
      </c>
      <c r="K20" s="14">
        <f>136507.2+136507.2+129297.2+114877.2</f>
        <v>517188.80000000005</v>
      </c>
      <c r="M20" s="3"/>
      <c r="N20" s="3"/>
      <c r="O20" s="3"/>
    </row>
    <row r="21" spans="1:15" s="2" customFormat="1" ht="15" x14ac:dyDescent="0.2">
      <c r="B21" s="15" t="s">
        <v>34</v>
      </c>
      <c r="C21" s="17" t="s">
        <v>33</v>
      </c>
      <c r="D21" s="17"/>
      <c r="E21" s="17"/>
      <c r="F21" s="17"/>
      <c r="G21" s="17"/>
      <c r="H21" s="17"/>
      <c r="J21" s="14">
        <f>2847*12</f>
        <v>34164</v>
      </c>
      <c r="K21" s="14">
        <f>0+34168+0+0</f>
        <v>34168</v>
      </c>
      <c r="M21" s="3"/>
      <c r="N21" s="3"/>
      <c r="O21" s="3"/>
    </row>
    <row r="22" spans="1:15" s="2" customFormat="1" ht="15" x14ac:dyDescent="0.2">
      <c r="B22" s="2" t="s">
        <v>32</v>
      </c>
      <c r="C22" s="2" t="s">
        <v>31</v>
      </c>
      <c r="J22" s="14">
        <f>750*10+250*2</f>
        <v>8000</v>
      </c>
      <c r="K22" s="14">
        <f>8*187.1</f>
        <v>1496.8</v>
      </c>
      <c r="M22" s="3"/>
      <c r="N22" s="3"/>
      <c r="O22" s="3"/>
    </row>
    <row r="23" spans="1:15" s="2" customFormat="1" ht="15" x14ac:dyDescent="0.2">
      <c r="J23" s="14"/>
      <c r="K23" s="14"/>
      <c r="M23" s="3"/>
      <c r="N23" s="3"/>
      <c r="O23" s="3"/>
    </row>
    <row r="24" spans="1:15" s="2" customFormat="1" ht="15.75" x14ac:dyDescent="0.25">
      <c r="A24" s="8" t="s">
        <v>30</v>
      </c>
      <c r="B24" s="18" t="s">
        <v>29</v>
      </c>
      <c r="C24" s="18"/>
      <c r="D24" s="18"/>
      <c r="J24" s="12">
        <f>40590*12</f>
        <v>487080</v>
      </c>
      <c r="K24" s="12">
        <f>SUM(K25:K29)</f>
        <v>374062.42000000004</v>
      </c>
      <c r="M24" s="3"/>
      <c r="N24" s="3"/>
      <c r="O24" s="3"/>
    </row>
    <row r="25" spans="1:15" s="2" customFormat="1" ht="15" x14ac:dyDescent="0.2">
      <c r="B25" s="2" t="s">
        <v>28</v>
      </c>
      <c r="C25" s="17" t="s">
        <v>27</v>
      </c>
      <c r="D25" s="17"/>
      <c r="J25" s="14"/>
      <c r="K25" s="14">
        <f>2010.01+83622.7+101662.61+8031.93</f>
        <v>195327.25</v>
      </c>
      <c r="M25" s="7"/>
      <c r="N25" s="3"/>
      <c r="O25" s="3"/>
    </row>
    <row r="26" spans="1:15" s="2" customFormat="1" ht="15" x14ac:dyDescent="0.2">
      <c r="B26" s="2" t="s">
        <v>26</v>
      </c>
      <c r="C26" s="17" t="s">
        <v>25</v>
      </c>
      <c r="D26" s="17"/>
      <c r="E26" s="17"/>
      <c r="F26" s="17"/>
      <c r="G26" s="17"/>
      <c r="J26" s="14"/>
      <c r="K26" s="14">
        <f>34138.38+38842.45+25541.47+31978.6</f>
        <v>130500.9</v>
      </c>
      <c r="M26" s="3"/>
      <c r="N26" s="3"/>
      <c r="O26" s="3"/>
    </row>
    <row r="27" spans="1:15" s="2" customFormat="1" ht="15" x14ac:dyDescent="0.2">
      <c r="B27" s="2" t="s">
        <v>24</v>
      </c>
      <c r="C27" s="17" t="s">
        <v>23</v>
      </c>
      <c r="D27" s="17"/>
      <c r="E27" s="17"/>
      <c r="F27" s="17"/>
      <c r="G27" s="17"/>
      <c r="H27" s="17"/>
      <c r="J27" s="14"/>
      <c r="K27" s="14">
        <f>5467.6+6717.74+10087.13+482.4</f>
        <v>22754.870000000003</v>
      </c>
      <c r="M27" s="3"/>
      <c r="N27" s="3"/>
      <c r="O27" s="3"/>
    </row>
    <row r="28" spans="1:15" s="2" customFormat="1" ht="15" x14ac:dyDescent="0.2">
      <c r="B28" s="2" t="s">
        <v>22</v>
      </c>
      <c r="C28" s="15" t="s">
        <v>21</v>
      </c>
      <c r="D28" s="15"/>
      <c r="E28" s="15"/>
      <c r="F28" s="15"/>
      <c r="G28" s="15"/>
      <c r="H28" s="15"/>
      <c r="J28" s="14"/>
      <c r="K28" s="14"/>
      <c r="M28" s="3"/>
      <c r="N28" s="3"/>
      <c r="O28" s="3"/>
    </row>
    <row r="29" spans="1:15" s="2" customFormat="1" ht="15" x14ac:dyDescent="0.2">
      <c r="B29" s="2" t="s">
        <v>20</v>
      </c>
      <c r="C29" s="15" t="s">
        <v>19</v>
      </c>
      <c r="D29" s="15"/>
      <c r="E29" s="15"/>
      <c r="F29" s="15"/>
      <c r="G29" s="16"/>
      <c r="H29" s="16"/>
      <c r="J29" s="14"/>
      <c r="K29" s="14">
        <v>25479.4</v>
      </c>
    </row>
    <row r="30" spans="1:15" s="2" customFormat="1" ht="15" x14ac:dyDescent="0.2">
      <c r="C30" s="15"/>
      <c r="D30" s="15"/>
      <c r="E30" s="15"/>
      <c r="F30" s="15"/>
      <c r="G30" s="16"/>
      <c r="H30" s="16"/>
      <c r="J30" s="14"/>
      <c r="K30" s="14"/>
    </row>
    <row r="31" spans="1:15" s="2" customFormat="1" ht="15.75" x14ac:dyDescent="0.25">
      <c r="A31" s="8" t="s">
        <v>18</v>
      </c>
      <c r="B31" s="11" t="s">
        <v>17</v>
      </c>
      <c r="C31" s="11"/>
      <c r="D31" s="11"/>
      <c r="E31" s="15"/>
      <c r="F31" s="15"/>
      <c r="J31" s="12">
        <f>20650*12</f>
        <v>247800</v>
      </c>
      <c r="K31" s="12">
        <f>61935+61935+61935+61935</f>
        <v>247740</v>
      </c>
      <c r="M31" s="3"/>
      <c r="N31" s="3"/>
      <c r="O31" s="3"/>
    </row>
    <row r="32" spans="1:15" s="2" customFormat="1" ht="15.75" x14ac:dyDescent="0.25">
      <c r="A32" s="8"/>
      <c r="B32" s="15"/>
      <c r="C32" s="15"/>
      <c r="D32" s="15"/>
      <c r="J32" s="14"/>
      <c r="K32" s="14"/>
      <c r="M32" s="3"/>
      <c r="N32" s="3"/>
      <c r="O32" s="3"/>
    </row>
    <row r="33" spans="1:15" s="2" customFormat="1" ht="15.75" x14ac:dyDescent="0.25">
      <c r="A33" s="8" t="s">
        <v>16</v>
      </c>
      <c r="B33" s="13" t="s">
        <v>15</v>
      </c>
      <c r="C33" s="13"/>
      <c r="D33" s="13"/>
      <c r="E33" s="13"/>
      <c r="J33" s="12">
        <f>15880*12</f>
        <v>190560</v>
      </c>
      <c r="K33" s="12">
        <f>47448.15+47675.75+50232.82+46557.58</f>
        <v>191914.3</v>
      </c>
      <c r="M33" s="3"/>
      <c r="N33" s="3"/>
      <c r="O33" s="3"/>
    </row>
    <row r="34" spans="1:15" s="2" customFormat="1" ht="15" x14ac:dyDescent="0.2">
      <c r="J34" s="14"/>
      <c r="K34" s="14"/>
      <c r="M34" s="3"/>
      <c r="N34" s="3"/>
      <c r="O34" s="3"/>
    </row>
    <row r="35" spans="1:15" s="2" customFormat="1" ht="15.75" x14ac:dyDescent="0.25">
      <c r="A35" s="8" t="s">
        <v>14</v>
      </c>
      <c r="B35" s="13" t="s">
        <v>13</v>
      </c>
      <c r="C35" s="13"/>
      <c r="D35" s="13"/>
      <c r="E35" s="13"/>
      <c r="F35" s="13"/>
      <c r="J35" s="12">
        <f>33470*10+43340*2</f>
        <v>421380</v>
      </c>
      <c r="K35" s="12">
        <f>99528.87+99965.94+101757.66+104046.87</f>
        <v>405299.33999999997</v>
      </c>
      <c r="M35" s="3"/>
      <c r="N35" s="3"/>
      <c r="O35" s="3"/>
    </row>
    <row r="36" spans="1:15" s="2" customFormat="1" ht="15" x14ac:dyDescent="0.2">
      <c r="J36" s="14"/>
      <c r="K36" s="14"/>
      <c r="M36" s="3"/>
      <c r="N36" s="3"/>
      <c r="O36" s="3"/>
    </row>
    <row r="37" spans="1:15" s="2" customFormat="1" ht="15.75" x14ac:dyDescent="0.25">
      <c r="A37" s="8" t="s">
        <v>12</v>
      </c>
      <c r="B37" s="8" t="s">
        <v>11</v>
      </c>
      <c r="J37" s="12">
        <f>3680*10+4120*2</f>
        <v>45040</v>
      </c>
      <c r="K37" s="12">
        <f>19406.94+1348.5+0+15318.3</f>
        <v>36073.74</v>
      </c>
      <c r="M37" s="3"/>
      <c r="N37" s="3"/>
      <c r="O37" s="3"/>
    </row>
    <row r="38" spans="1:15" s="2" customFormat="1" ht="15.75" x14ac:dyDescent="0.25">
      <c r="A38" s="8"/>
      <c r="B38" s="8"/>
      <c r="J38" s="12"/>
      <c r="K38" s="12"/>
      <c r="M38" s="3"/>
      <c r="N38" s="3"/>
      <c r="O38" s="3"/>
    </row>
    <row r="39" spans="1:15" s="8" customFormat="1" ht="15.75" x14ac:dyDescent="0.25">
      <c r="A39" s="8" t="s">
        <v>10</v>
      </c>
      <c r="B39" s="8" t="s">
        <v>9</v>
      </c>
      <c r="J39" s="12">
        <f>44090*10+46690*2</f>
        <v>534280</v>
      </c>
      <c r="K39" s="12">
        <f>132257.43+132257.43+133106.47+137838.33</f>
        <v>535459.65999999992</v>
      </c>
    </row>
    <row r="40" spans="1:15" s="8" customFormat="1" ht="15.75" x14ac:dyDescent="0.25">
      <c r="J40" s="12"/>
      <c r="K40" s="12"/>
    </row>
    <row r="41" spans="1:15" s="2" customFormat="1" ht="15.75" x14ac:dyDescent="0.25">
      <c r="B41" s="8" t="s">
        <v>8</v>
      </c>
      <c r="J41" s="12">
        <f>J4+J11+J19+J24+J31+J33+J35+J37+J39</f>
        <v>3709456</v>
      </c>
      <c r="K41" s="12">
        <f>K4+K11+K19+K24+K31+K33+K35+K37+K39</f>
        <v>3799708.25</v>
      </c>
      <c r="M41" s="3"/>
      <c r="N41" s="3"/>
      <c r="O41" s="3"/>
    </row>
    <row r="42" spans="1:15" s="2" customFormat="1" ht="15.75" x14ac:dyDescent="0.25">
      <c r="B42" s="8" t="s">
        <v>7</v>
      </c>
      <c r="J42" s="14">
        <f>ROUND(J41*7/100,2)</f>
        <v>259661.92</v>
      </c>
      <c r="K42" s="14">
        <f>ROUND(K41*7/100,2)</f>
        <v>265979.58</v>
      </c>
      <c r="M42" s="3"/>
      <c r="N42" s="3"/>
      <c r="O42" s="3"/>
    </row>
    <row r="43" spans="1:15" s="2" customFormat="1" ht="15.75" x14ac:dyDescent="0.25">
      <c r="B43" s="13" t="s">
        <v>6</v>
      </c>
      <c r="C43" s="13"/>
      <c r="D43" s="13"/>
      <c r="J43" s="12">
        <f>SUM(J41:J42)</f>
        <v>3969117.92</v>
      </c>
      <c r="K43" s="12">
        <f>SUM(K41:K42)</f>
        <v>4065687.83</v>
      </c>
      <c r="M43" s="3"/>
      <c r="N43" s="3"/>
      <c r="O43" s="3"/>
    </row>
    <row r="44" spans="1:15" s="2" customFormat="1" ht="15.75" x14ac:dyDescent="0.25">
      <c r="B44" s="11"/>
      <c r="C44" s="11"/>
      <c r="D44" s="11"/>
      <c r="J44" s="12"/>
      <c r="K44" s="12"/>
      <c r="M44" s="3"/>
      <c r="N44" s="3"/>
      <c r="O44" s="3"/>
    </row>
    <row r="45" spans="1:15" s="8" customFormat="1" ht="15.75" x14ac:dyDescent="0.25">
      <c r="A45" s="13" t="s">
        <v>5</v>
      </c>
      <c r="B45" s="13"/>
      <c r="C45" s="13"/>
      <c r="D45" s="13"/>
      <c r="J45" s="12"/>
      <c r="K45" s="12">
        <f>984998.7+984998.7+992248.08+1014157.22</f>
        <v>3976402.7</v>
      </c>
      <c r="M45" s="9"/>
      <c r="N45" s="9"/>
      <c r="O45" s="9"/>
    </row>
    <row r="46" spans="1:15" s="8" customFormat="1" ht="15.75" x14ac:dyDescent="0.25">
      <c r="A46" s="11"/>
      <c r="B46" s="11"/>
      <c r="C46" s="11"/>
      <c r="D46" s="11"/>
      <c r="J46" s="12"/>
      <c r="K46" s="12"/>
      <c r="M46" s="9"/>
      <c r="N46" s="9"/>
      <c r="O46" s="9"/>
    </row>
    <row r="47" spans="1:15" s="8" customFormat="1" ht="15.75" x14ac:dyDescent="0.25">
      <c r="A47" s="13" t="s">
        <v>4</v>
      </c>
      <c r="B47" s="13"/>
      <c r="C47" s="13"/>
      <c r="D47" s="13"/>
      <c r="E47" s="13"/>
      <c r="F47" s="13"/>
      <c r="J47" s="12"/>
      <c r="K47" s="12">
        <f>916801.98+942228.04+926070.94+1055321.55</f>
        <v>3840422.51</v>
      </c>
      <c r="M47" s="9"/>
      <c r="N47" s="9"/>
      <c r="O47" s="9"/>
    </row>
    <row r="48" spans="1:15" s="8" customFormat="1" ht="15.75" x14ac:dyDescent="0.25">
      <c r="A48" s="11"/>
      <c r="B48" s="11"/>
      <c r="C48" s="11"/>
      <c r="D48" s="11"/>
      <c r="E48" s="11"/>
      <c r="F48" s="11"/>
      <c r="J48" s="10"/>
      <c r="K48" s="10"/>
      <c r="M48" s="9"/>
      <c r="N48" s="9"/>
      <c r="O48" s="9"/>
    </row>
    <row r="49" spans="2:15" s="2" customFormat="1" ht="15" x14ac:dyDescent="0.2">
      <c r="M49" s="3"/>
      <c r="N49" s="3"/>
      <c r="O49" s="3"/>
    </row>
    <row r="50" spans="2:15" s="2" customFormat="1" ht="15" x14ac:dyDescent="0.2">
      <c r="B50" s="2" t="s">
        <v>3</v>
      </c>
      <c r="J50" s="7" t="s">
        <v>2</v>
      </c>
      <c r="K50" s="6"/>
    </row>
    <row r="51" spans="2:15" s="2" customFormat="1" ht="15" x14ac:dyDescent="0.2">
      <c r="K51" s="6"/>
      <c r="M51" s="3"/>
      <c r="N51" s="3"/>
      <c r="O51" s="3"/>
    </row>
    <row r="52" spans="2:15" s="2" customFormat="1" ht="15" x14ac:dyDescent="0.2">
      <c r="K52" s="5"/>
      <c r="M52" s="3"/>
      <c r="N52" s="3"/>
      <c r="O52" s="3"/>
    </row>
    <row r="53" spans="2:15" s="2" customFormat="1" ht="15" x14ac:dyDescent="0.2">
      <c r="B53" s="2" t="s">
        <v>1</v>
      </c>
      <c r="I53" s="4"/>
      <c r="J53" s="4" t="s">
        <v>0</v>
      </c>
      <c r="M53" s="3"/>
      <c r="N53" s="3"/>
      <c r="O53" s="3"/>
    </row>
    <row r="54" spans="2:15" s="2" customFormat="1" ht="15" x14ac:dyDescent="0.2">
      <c r="M54" s="3"/>
      <c r="N54" s="3"/>
      <c r="O54" s="3"/>
    </row>
    <row r="55" spans="2:15" s="2" customFormat="1" ht="15" x14ac:dyDescent="0.2">
      <c r="M55" s="3"/>
      <c r="N55" s="3"/>
      <c r="O55" s="3"/>
    </row>
    <row r="56" spans="2:15" s="2" customFormat="1" ht="15" x14ac:dyDescent="0.2">
      <c r="M56" s="3"/>
      <c r="N56" s="3"/>
      <c r="O56" s="3"/>
    </row>
    <row r="57" spans="2:15" s="2" customFormat="1" ht="15" x14ac:dyDescent="0.2">
      <c r="M57" s="3"/>
      <c r="N57" s="3"/>
      <c r="O57" s="3"/>
    </row>
    <row r="58" spans="2:15" s="2" customFormat="1" ht="15" x14ac:dyDescent="0.2">
      <c r="M58" s="3"/>
      <c r="N58" s="3"/>
      <c r="O58" s="3"/>
    </row>
    <row r="59" spans="2:15" s="2" customFormat="1" ht="15" x14ac:dyDescent="0.2">
      <c r="M59" s="3"/>
      <c r="N59" s="3"/>
      <c r="O59" s="3"/>
    </row>
    <row r="60" spans="2:15" s="2" customFormat="1" ht="15" x14ac:dyDescent="0.2">
      <c r="M60" s="3"/>
      <c r="N60" s="3"/>
      <c r="O60" s="3"/>
    </row>
    <row r="61" spans="2:15" s="2" customFormat="1" ht="15" x14ac:dyDescent="0.2">
      <c r="M61" s="3"/>
      <c r="N61" s="3"/>
      <c r="O61" s="3"/>
    </row>
    <row r="62" spans="2:15" s="2" customFormat="1" ht="15" x14ac:dyDescent="0.2">
      <c r="M62" s="3"/>
      <c r="N62" s="3"/>
      <c r="O62" s="3"/>
    </row>
    <row r="63" spans="2:15" s="2" customFormat="1" ht="15" x14ac:dyDescent="0.2">
      <c r="M63" s="3"/>
      <c r="N63" s="3"/>
      <c r="O63" s="3"/>
    </row>
    <row r="64" spans="2:15" s="2" customFormat="1" ht="15" x14ac:dyDescent="0.2">
      <c r="M64" s="3"/>
      <c r="N64" s="3"/>
      <c r="O64" s="3"/>
    </row>
    <row r="65" spans="13:15" s="2" customFormat="1" ht="15" x14ac:dyDescent="0.2">
      <c r="M65" s="3"/>
      <c r="N65" s="3"/>
      <c r="O65" s="3"/>
    </row>
    <row r="66" spans="13:15" s="2" customFormat="1" ht="15" x14ac:dyDescent="0.2">
      <c r="M66" s="3"/>
      <c r="N66" s="3"/>
      <c r="O66" s="3"/>
    </row>
    <row r="67" spans="13:15" s="2" customFormat="1" ht="15" x14ac:dyDescent="0.2">
      <c r="M67" s="3"/>
      <c r="N67" s="3"/>
      <c r="O67" s="3"/>
    </row>
    <row r="68" spans="13:15" s="2" customFormat="1" ht="15" x14ac:dyDescent="0.2">
      <c r="M68" s="3"/>
      <c r="N68" s="3"/>
      <c r="O68" s="3"/>
    </row>
    <row r="69" spans="13:15" s="2" customFormat="1" ht="15" x14ac:dyDescent="0.2">
      <c r="M69" s="3"/>
      <c r="N69" s="3"/>
      <c r="O69" s="3"/>
    </row>
    <row r="70" spans="13:15" s="2" customFormat="1" ht="15" x14ac:dyDescent="0.2">
      <c r="M70" s="3"/>
      <c r="N70" s="3"/>
      <c r="O70" s="3"/>
    </row>
    <row r="71" spans="13:15" s="2" customFormat="1" ht="15" x14ac:dyDescent="0.2">
      <c r="M71" s="3"/>
      <c r="N71" s="3"/>
      <c r="O71" s="3"/>
    </row>
    <row r="72" spans="13:15" s="2" customFormat="1" ht="15" x14ac:dyDescent="0.2">
      <c r="M72" s="3"/>
      <c r="N72" s="3"/>
      <c r="O72" s="3"/>
    </row>
    <row r="73" spans="13:15" s="2" customFormat="1" ht="15" x14ac:dyDescent="0.2">
      <c r="M73" s="3"/>
      <c r="N73" s="3"/>
      <c r="O73" s="3"/>
    </row>
    <row r="74" spans="13:15" s="2" customFormat="1" ht="15" x14ac:dyDescent="0.2">
      <c r="M74" s="3"/>
      <c r="N74" s="3"/>
      <c r="O74" s="3"/>
    </row>
    <row r="75" spans="13:15" s="2" customFormat="1" ht="15" x14ac:dyDescent="0.2">
      <c r="M75" s="3"/>
      <c r="N75" s="3"/>
      <c r="O75" s="3"/>
    </row>
    <row r="76" spans="13:15" s="2" customFormat="1" ht="15" x14ac:dyDescent="0.2">
      <c r="M76" s="3"/>
      <c r="N76" s="3"/>
      <c r="O76" s="3"/>
    </row>
    <row r="77" spans="13:15" s="2" customFormat="1" ht="15" x14ac:dyDescent="0.2">
      <c r="M77" s="3"/>
      <c r="N77" s="3"/>
      <c r="O77" s="3"/>
    </row>
    <row r="78" spans="13:15" s="2" customFormat="1" ht="15" x14ac:dyDescent="0.2">
      <c r="M78" s="3"/>
      <c r="N78" s="3"/>
      <c r="O78" s="3"/>
    </row>
    <row r="79" spans="13:15" s="2" customFormat="1" ht="15" x14ac:dyDescent="0.2">
      <c r="M79" s="3"/>
      <c r="N79" s="3"/>
      <c r="O79" s="3"/>
    </row>
    <row r="80" spans="13:15" s="2" customFormat="1" ht="15" x14ac:dyDescent="0.2">
      <c r="M80" s="3"/>
      <c r="N80" s="3"/>
      <c r="O80" s="3"/>
    </row>
    <row r="81" spans="13:15" s="2" customFormat="1" ht="15" x14ac:dyDescent="0.2">
      <c r="M81" s="3"/>
      <c r="N81" s="3"/>
      <c r="O81" s="3"/>
    </row>
    <row r="82" spans="13:15" s="2" customFormat="1" ht="15" x14ac:dyDescent="0.2">
      <c r="M82" s="3"/>
      <c r="N82" s="3"/>
      <c r="O82" s="3"/>
    </row>
    <row r="83" spans="13:15" s="2" customFormat="1" ht="15" x14ac:dyDescent="0.2">
      <c r="M83" s="3"/>
      <c r="N83" s="3"/>
      <c r="O83" s="3"/>
    </row>
    <row r="84" spans="13:15" s="2" customFormat="1" ht="15" x14ac:dyDescent="0.2">
      <c r="M84" s="3"/>
      <c r="N84" s="3"/>
      <c r="O84" s="3"/>
    </row>
    <row r="85" spans="13:15" s="2" customFormat="1" ht="15" x14ac:dyDescent="0.2">
      <c r="M85" s="3"/>
      <c r="N85" s="3"/>
      <c r="O85" s="3"/>
    </row>
    <row r="86" spans="13:15" s="2" customFormat="1" ht="15" x14ac:dyDescent="0.2">
      <c r="M86" s="3"/>
      <c r="N86" s="3"/>
      <c r="O86" s="3"/>
    </row>
    <row r="87" spans="13:15" s="2" customFormat="1" ht="15" x14ac:dyDescent="0.2">
      <c r="M87" s="3"/>
      <c r="N87" s="3"/>
      <c r="O87" s="3"/>
    </row>
    <row r="88" spans="13:15" s="2" customFormat="1" ht="15" x14ac:dyDescent="0.2">
      <c r="M88" s="3"/>
      <c r="N88" s="3"/>
      <c r="O88" s="3"/>
    </row>
    <row r="89" spans="13:15" s="2" customFormat="1" ht="15" x14ac:dyDescent="0.2">
      <c r="M89" s="3"/>
      <c r="N89" s="3"/>
      <c r="O89" s="3"/>
    </row>
    <row r="90" spans="13:15" s="2" customFormat="1" ht="15" x14ac:dyDescent="0.2">
      <c r="M90" s="3"/>
      <c r="N90" s="3"/>
      <c r="O90" s="3"/>
    </row>
    <row r="91" spans="13:15" s="2" customFormat="1" ht="15" x14ac:dyDescent="0.2">
      <c r="M91" s="3"/>
      <c r="N91" s="3"/>
      <c r="O91" s="3"/>
    </row>
    <row r="92" spans="13:15" s="2" customFormat="1" ht="15" x14ac:dyDescent="0.2">
      <c r="M92" s="3"/>
      <c r="N92" s="3"/>
      <c r="O92" s="3"/>
    </row>
    <row r="93" spans="13:15" s="2" customFormat="1" ht="15" x14ac:dyDescent="0.2">
      <c r="M93" s="3"/>
      <c r="N93" s="3"/>
      <c r="O93" s="3"/>
    </row>
    <row r="94" spans="13:15" s="2" customFormat="1" ht="15" x14ac:dyDescent="0.2">
      <c r="M94" s="3"/>
      <c r="N94" s="3"/>
      <c r="O94" s="3"/>
    </row>
    <row r="95" spans="13:15" s="2" customFormat="1" ht="15" x14ac:dyDescent="0.2">
      <c r="M95" s="3"/>
      <c r="N95" s="3"/>
      <c r="O95" s="3"/>
    </row>
    <row r="96" spans="13:15" s="2" customFormat="1" ht="15" x14ac:dyDescent="0.2">
      <c r="M96" s="3"/>
      <c r="N96" s="3"/>
      <c r="O96" s="3"/>
    </row>
    <row r="97" spans="13:15" s="2" customFormat="1" ht="15" x14ac:dyDescent="0.2">
      <c r="M97" s="3"/>
      <c r="N97" s="3"/>
      <c r="O97" s="3"/>
    </row>
    <row r="98" spans="13:15" s="2" customFormat="1" ht="15" x14ac:dyDescent="0.2">
      <c r="M98" s="3"/>
      <c r="N98" s="3"/>
      <c r="O98" s="3"/>
    </row>
    <row r="99" spans="13:15" s="2" customFormat="1" ht="15" x14ac:dyDescent="0.2">
      <c r="M99" s="3"/>
      <c r="N99" s="3"/>
      <c r="O99" s="3"/>
    </row>
    <row r="100" spans="13:15" s="2" customFormat="1" ht="15" x14ac:dyDescent="0.2">
      <c r="M100" s="3"/>
      <c r="N100" s="3"/>
      <c r="O100" s="3"/>
    </row>
    <row r="101" spans="13:15" s="2" customFormat="1" ht="15" x14ac:dyDescent="0.2">
      <c r="M101" s="3"/>
      <c r="N101" s="3"/>
      <c r="O101" s="3"/>
    </row>
    <row r="102" spans="13:15" s="2" customFormat="1" ht="15" x14ac:dyDescent="0.2">
      <c r="M102" s="3"/>
      <c r="N102" s="3"/>
      <c r="O102" s="3"/>
    </row>
    <row r="103" spans="13:15" s="2" customFormat="1" ht="15" x14ac:dyDescent="0.2">
      <c r="M103" s="3"/>
      <c r="N103" s="3"/>
      <c r="O103" s="3"/>
    </row>
    <row r="104" spans="13:15" s="2" customFormat="1" ht="15" x14ac:dyDescent="0.2">
      <c r="M104" s="3"/>
      <c r="N104" s="3"/>
      <c r="O104" s="3"/>
    </row>
    <row r="105" spans="13:15" s="2" customFormat="1" ht="15" x14ac:dyDescent="0.2">
      <c r="M105" s="3"/>
      <c r="N105" s="3"/>
      <c r="O105" s="3"/>
    </row>
    <row r="106" spans="13:15" s="2" customFormat="1" ht="15" x14ac:dyDescent="0.2">
      <c r="M106" s="3"/>
      <c r="N106" s="3"/>
      <c r="O106" s="3"/>
    </row>
    <row r="107" spans="13:15" s="2" customFormat="1" ht="15" x14ac:dyDescent="0.2">
      <c r="M107" s="3"/>
      <c r="N107" s="3"/>
      <c r="O107" s="3"/>
    </row>
    <row r="108" spans="13:15" s="2" customFormat="1" ht="15" x14ac:dyDescent="0.2">
      <c r="M108" s="3"/>
      <c r="N108" s="3"/>
      <c r="O108" s="3"/>
    </row>
    <row r="109" spans="13:15" s="2" customFormat="1" ht="15" x14ac:dyDescent="0.2">
      <c r="M109" s="3"/>
      <c r="N109" s="3"/>
      <c r="O109" s="3"/>
    </row>
    <row r="110" spans="13:15" s="2" customFormat="1" ht="15" x14ac:dyDescent="0.2">
      <c r="M110" s="3"/>
      <c r="N110" s="3"/>
      <c r="O110" s="3"/>
    </row>
    <row r="111" spans="13:15" s="2" customFormat="1" ht="15" x14ac:dyDescent="0.2">
      <c r="M111" s="3"/>
      <c r="N111" s="3"/>
      <c r="O111" s="3"/>
    </row>
    <row r="112" spans="13:15" s="2" customFormat="1" ht="15" x14ac:dyDescent="0.2">
      <c r="M112" s="3"/>
      <c r="N112" s="3"/>
      <c r="O112" s="3"/>
    </row>
    <row r="113" spans="13:15" s="2" customFormat="1" ht="15" x14ac:dyDescent="0.2">
      <c r="M113" s="3"/>
      <c r="N113" s="3"/>
      <c r="O113" s="3"/>
    </row>
    <row r="114" spans="13:15" s="2" customFormat="1" ht="15" x14ac:dyDescent="0.2">
      <c r="M114" s="3"/>
      <c r="N114" s="3"/>
      <c r="O114" s="3"/>
    </row>
    <row r="115" spans="13:15" s="2" customFormat="1" ht="15" x14ac:dyDescent="0.2">
      <c r="M115" s="3"/>
      <c r="N115" s="3"/>
      <c r="O115" s="3"/>
    </row>
    <row r="116" spans="13:15" s="2" customFormat="1" ht="15" x14ac:dyDescent="0.2">
      <c r="M116" s="3"/>
      <c r="N116" s="3"/>
      <c r="O116" s="3"/>
    </row>
    <row r="117" spans="13:15" s="2" customFormat="1" ht="15" x14ac:dyDescent="0.2">
      <c r="M117" s="3"/>
      <c r="N117" s="3"/>
      <c r="O117" s="3"/>
    </row>
    <row r="118" spans="13:15" s="2" customFormat="1" ht="15" x14ac:dyDescent="0.2">
      <c r="M118" s="3"/>
      <c r="N118" s="3"/>
      <c r="O118" s="3"/>
    </row>
    <row r="119" spans="13:15" s="2" customFormat="1" ht="15" x14ac:dyDescent="0.2">
      <c r="M119" s="3"/>
      <c r="N119" s="3"/>
      <c r="O119" s="3"/>
    </row>
    <row r="120" spans="13:15" s="2" customFormat="1" ht="15" x14ac:dyDescent="0.2">
      <c r="M120" s="3"/>
      <c r="N120" s="3"/>
      <c r="O120" s="3"/>
    </row>
    <row r="121" spans="13:15" s="2" customFormat="1" ht="15" x14ac:dyDescent="0.2">
      <c r="M121" s="3"/>
      <c r="N121" s="3"/>
      <c r="O121" s="3"/>
    </row>
    <row r="122" spans="13:15" s="2" customFormat="1" ht="15" x14ac:dyDescent="0.2">
      <c r="M122" s="3"/>
      <c r="N122" s="3"/>
      <c r="O122" s="3"/>
    </row>
    <row r="123" spans="13:15" s="2" customFormat="1" ht="15" x14ac:dyDescent="0.2">
      <c r="M123" s="3"/>
      <c r="N123" s="3"/>
      <c r="O123" s="3"/>
    </row>
    <row r="124" spans="13:15" s="2" customFormat="1" ht="15" x14ac:dyDescent="0.2">
      <c r="M124" s="3"/>
      <c r="N124" s="3"/>
      <c r="O124" s="3"/>
    </row>
    <row r="125" spans="13:15" s="2" customFormat="1" ht="15" x14ac:dyDescent="0.2">
      <c r="M125" s="3"/>
      <c r="N125" s="3"/>
      <c r="O125" s="3"/>
    </row>
    <row r="126" spans="13:15" s="2" customFormat="1" ht="15" x14ac:dyDescent="0.2">
      <c r="M126" s="3"/>
      <c r="N126" s="3"/>
      <c r="O126" s="3"/>
    </row>
    <row r="127" spans="13:15" s="2" customFormat="1" ht="15" x14ac:dyDescent="0.2">
      <c r="M127" s="3"/>
      <c r="N127" s="3"/>
      <c r="O127" s="3"/>
    </row>
    <row r="128" spans="13:15" s="2" customFormat="1" ht="15" x14ac:dyDescent="0.2">
      <c r="M128" s="3"/>
      <c r="N128" s="3"/>
      <c r="O128" s="3"/>
    </row>
    <row r="129" spans="13:15" s="2" customFormat="1" ht="15" x14ac:dyDescent="0.2">
      <c r="M129" s="3"/>
      <c r="N129" s="3"/>
      <c r="O129" s="3"/>
    </row>
    <row r="130" spans="13:15" s="2" customFormat="1" ht="15" x14ac:dyDescent="0.2">
      <c r="M130" s="3"/>
      <c r="N130" s="3"/>
      <c r="O130" s="3"/>
    </row>
    <row r="131" spans="13:15" s="2" customFormat="1" ht="15" x14ac:dyDescent="0.2">
      <c r="M131" s="3"/>
      <c r="N131" s="3"/>
      <c r="O131" s="3"/>
    </row>
    <row r="132" spans="13:15" s="2" customFormat="1" ht="15" x14ac:dyDescent="0.2">
      <c r="M132" s="3"/>
      <c r="N132" s="3"/>
      <c r="O132" s="3"/>
    </row>
    <row r="133" spans="13:15" s="2" customFormat="1" ht="15" x14ac:dyDescent="0.2">
      <c r="M133" s="3"/>
      <c r="N133" s="3"/>
      <c r="O133" s="3"/>
    </row>
    <row r="134" spans="13:15" s="2" customFormat="1" ht="15" x14ac:dyDescent="0.2">
      <c r="M134" s="3"/>
      <c r="N134" s="3"/>
      <c r="O134" s="3"/>
    </row>
    <row r="135" spans="13:15" s="2" customFormat="1" ht="15" x14ac:dyDescent="0.2">
      <c r="M135" s="3"/>
      <c r="N135" s="3"/>
      <c r="O135" s="3"/>
    </row>
    <row r="136" spans="13:15" s="2" customFormat="1" ht="15" x14ac:dyDescent="0.2">
      <c r="M136" s="3"/>
      <c r="N136" s="3"/>
      <c r="O136" s="3"/>
    </row>
    <row r="137" spans="13:15" s="2" customFormat="1" ht="15" x14ac:dyDescent="0.2">
      <c r="M137" s="3"/>
      <c r="N137" s="3"/>
      <c r="O137" s="3"/>
    </row>
    <row r="138" spans="13:15" s="2" customFormat="1" ht="15" x14ac:dyDescent="0.2">
      <c r="M138" s="3"/>
      <c r="N138" s="3"/>
      <c r="O138" s="3"/>
    </row>
    <row r="139" spans="13:15" s="2" customFormat="1" ht="15" x14ac:dyDescent="0.2">
      <c r="M139" s="3"/>
      <c r="N139" s="3"/>
      <c r="O139" s="3"/>
    </row>
    <row r="140" spans="13:15" s="2" customFormat="1" ht="15" x14ac:dyDescent="0.2">
      <c r="M140" s="3"/>
      <c r="N140" s="3"/>
      <c r="O140" s="3"/>
    </row>
    <row r="141" spans="13:15" s="2" customFormat="1" ht="15" x14ac:dyDescent="0.2">
      <c r="M141" s="3"/>
      <c r="N141" s="3"/>
      <c r="O141" s="3"/>
    </row>
    <row r="142" spans="13:15" s="2" customFormat="1" ht="15" x14ac:dyDescent="0.2">
      <c r="M142" s="3"/>
      <c r="N142" s="3"/>
      <c r="O142" s="3"/>
    </row>
    <row r="143" spans="13:15" s="2" customFormat="1" ht="15" x14ac:dyDescent="0.2">
      <c r="M143" s="3"/>
      <c r="N143" s="3"/>
      <c r="O143" s="3"/>
    </row>
    <row r="144" spans="13:15" s="2" customFormat="1" ht="15" x14ac:dyDescent="0.2">
      <c r="M144" s="3"/>
      <c r="N144" s="3"/>
      <c r="O144" s="3"/>
    </row>
    <row r="145" spans="13:15" s="2" customFormat="1" ht="15" x14ac:dyDescent="0.2">
      <c r="M145" s="3"/>
      <c r="N145" s="3"/>
      <c r="O145" s="3"/>
    </row>
    <row r="146" spans="13:15" s="2" customFormat="1" ht="15" x14ac:dyDescent="0.2">
      <c r="M146" s="3"/>
      <c r="N146" s="3"/>
      <c r="O146" s="3"/>
    </row>
    <row r="147" spans="13:15" s="2" customFormat="1" ht="15" x14ac:dyDescent="0.2">
      <c r="M147" s="3"/>
      <c r="N147" s="3"/>
      <c r="O147" s="3"/>
    </row>
    <row r="148" spans="13:15" s="2" customFormat="1" ht="15" x14ac:dyDescent="0.2">
      <c r="M148" s="3"/>
      <c r="N148" s="3"/>
      <c r="O148" s="3"/>
    </row>
    <row r="149" spans="13:15" s="2" customFormat="1" ht="15" x14ac:dyDescent="0.2">
      <c r="M149" s="3"/>
      <c r="N149" s="3"/>
      <c r="O149" s="3"/>
    </row>
    <row r="150" spans="13:15" s="2" customFormat="1" ht="15" x14ac:dyDescent="0.2">
      <c r="M150" s="3"/>
      <c r="N150" s="3"/>
      <c r="O150" s="3"/>
    </row>
    <row r="151" spans="13:15" s="2" customFormat="1" ht="15" x14ac:dyDescent="0.2">
      <c r="M151" s="3"/>
      <c r="N151" s="3"/>
      <c r="O151" s="3"/>
    </row>
    <row r="152" spans="13:15" s="2" customFormat="1" ht="15" x14ac:dyDescent="0.2">
      <c r="M152" s="3"/>
      <c r="N152" s="3"/>
      <c r="O152" s="3"/>
    </row>
    <row r="153" spans="13:15" s="2" customFormat="1" ht="15" x14ac:dyDescent="0.2">
      <c r="M153" s="3"/>
      <c r="N153" s="3"/>
      <c r="O153" s="3"/>
    </row>
    <row r="154" spans="13:15" s="2" customFormat="1" ht="15" x14ac:dyDescent="0.2">
      <c r="M154" s="3"/>
      <c r="N154" s="3"/>
      <c r="O154" s="3"/>
    </row>
    <row r="155" spans="13:15" s="2" customFormat="1" ht="15" x14ac:dyDescent="0.2">
      <c r="M155" s="3"/>
      <c r="N155" s="3"/>
      <c r="O155" s="3"/>
    </row>
    <row r="156" spans="13:15" s="2" customFormat="1" ht="15" x14ac:dyDescent="0.2">
      <c r="M156" s="3"/>
      <c r="N156" s="3"/>
      <c r="O156" s="3"/>
    </row>
    <row r="157" spans="13:15" s="2" customFormat="1" ht="15" x14ac:dyDescent="0.2">
      <c r="M157" s="3"/>
      <c r="N157" s="3"/>
      <c r="O157" s="3"/>
    </row>
    <row r="158" spans="13:15" s="2" customFormat="1" ht="15" x14ac:dyDescent="0.2">
      <c r="M158" s="3"/>
      <c r="N158" s="3"/>
      <c r="O158" s="3"/>
    </row>
    <row r="159" spans="13:15" s="2" customFormat="1" ht="15" x14ac:dyDescent="0.2">
      <c r="M159" s="3"/>
      <c r="N159" s="3"/>
      <c r="O159" s="3"/>
    </row>
    <row r="160" spans="13:15" s="2" customFormat="1" ht="15" x14ac:dyDescent="0.2">
      <c r="M160" s="3"/>
      <c r="N160" s="3"/>
      <c r="O160" s="3"/>
    </row>
    <row r="161" spans="13:15" s="2" customFormat="1" ht="15" x14ac:dyDescent="0.2">
      <c r="M161" s="3"/>
      <c r="N161" s="3"/>
      <c r="O161" s="3"/>
    </row>
    <row r="162" spans="13:15" s="2" customFormat="1" ht="15" x14ac:dyDescent="0.2">
      <c r="M162" s="3"/>
      <c r="N162" s="3"/>
      <c r="O162" s="3"/>
    </row>
    <row r="163" spans="13:15" s="2" customFormat="1" ht="15" x14ac:dyDescent="0.2">
      <c r="M163" s="3"/>
      <c r="N163" s="3"/>
      <c r="O163" s="3"/>
    </row>
    <row r="164" spans="13:15" s="2" customFormat="1" ht="15" x14ac:dyDescent="0.2">
      <c r="M164" s="3"/>
      <c r="N164" s="3"/>
      <c r="O164" s="3"/>
    </row>
    <row r="165" spans="13:15" s="2" customFormat="1" ht="15" x14ac:dyDescent="0.2">
      <c r="M165" s="3"/>
      <c r="N165" s="3"/>
      <c r="O165" s="3"/>
    </row>
    <row r="166" spans="13:15" s="2" customFormat="1" ht="15" x14ac:dyDescent="0.2">
      <c r="M166" s="3"/>
      <c r="N166" s="3"/>
      <c r="O166" s="3"/>
    </row>
    <row r="167" spans="13:15" s="2" customFormat="1" ht="15" x14ac:dyDescent="0.2">
      <c r="M167" s="3"/>
      <c r="N167" s="3"/>
      <c r="O167" s="3"/>
    </row>
    <row r="168" spans="13:15" s="2" customFormat="1" ht="15" x14ac:dyDescent="0.2">
      <c r="M168" s="3"/>
      <c r="N168" s="3"/>
      <c r="O168" s="3"/>
    </row>
    <row r="169" spans="13:15" s="2" customFormat="1" ht="15" x14ac:dyDescent="0.2">
      <c r="M169" s="3"/>
      <c r="N169" s="3"/>
      <c r="O169" s="3"/>
    </row>
    <row r="170" spans="13:15" s="2" customFormat="1" ht="15" x14ac:dyDescent="0.2">
      <c r="M170" s="3"/>
      <c r="N170" s="3"/>
      <c r="O170" s="3"/>
    </row>
    <row r="171" spans="13:15" s="2" customFormat="1" ht="15" x14ac:dyDescent="0.2">
      <c r="M171" s="3"/>
      <c r="N171" s="3"/>
      <c r="O171" s="3"/>
    </row>
    <row r="172" spans="13:15" s="2" customFormat="1" ht="15" x14ac:dyDescent="0.2">
      <c r="M172" s="3"/>
      <c r="N172" s="3"/>
      <c r="O172" s="3"/>
    </row>
    <row r="173" spans="13:15" s="2" customFormat="1" ht="15" x14ac:dyDescent="0.2">
      <c r="M173" s="3"/>
      <c r="N173" s="3"/>
      <c r="O173" s="3"/>
    </row>
    <row r="174" spans="13:15" s="2" customFormat="1" ht="15" x14ac:dyDescent="0.2">
      <c r="M174" s="3"/>
      <c r="N174" s="3"/>
      <c r="O174" s="3"/>
    </row>
    <row r="175" spans="13:15" s="2" customFormat="1" ht="15" x14ac:dyDescent="0.2">
      <c r="M175" s="3"/>
      <c r="N175" s="3"/>
      <c r="O175" s="3"/>
    </row>
    <row r="176" spans="13:15" s="2" customFormat="1" ht="15" x14ac:dyDescent="0.2">
      <c r="M176" s="3"/>
      <c r="N176" s="3"/>
      <c r="O176" s="3"/>
    </row>
  </sheetData>
  <mergeCells count="21">
    <mergeCell ref="A47:F47"/>
    <mergeCell ref="C21:H21"/>
    <mergeCell ref="B35:F35"/>
    <mergeCell ref="C26:G26"/>
    <mergeCell ref="C27:H27"/>
    <mergeCell ref="B33:E33"/>
    <mergeCell ref="C25:D25"/>
    <mergeCell ref="B43:D43"/>
    <mergeCell ref="C20:G20"/>
    <mergeCell ref="C12:D12"/>
    <mergeCell ref="A45:D45"/>
    <mergeCell ref="C14:F14"/>
    <mergeCell ref="C15:H15"/>
    <mergeCell ref="B19:H19"/>
    <mergeCell ref="A1:K1"/>
    <mergeCell ref="A2:K2"/>
    <mergeCell ref="C13:E13"/>
    <mergeCell ref="B4:H4"/>
    <mergeCell ref="C6:F6"/>
    <mergeCell ref="C7:E7"/>
    <mergeCell ref="B11:F11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27 У фонтана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2019-03-26T11:46:45Z</dcterms:created>
  <dcterms:modified xsi:type="dcterms:W3CDTF">2019-03-26T11:47:02Z</dcterms:modified>
</cp:coreProperties>
</file>