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Для сайта\Потенциал\"/>
    </mc:Choice>
  </mc:AlternateContent>
  <bookViews>
    <workbookView xWindow="0" yWindow="0" windowWidth="19200" windowHeight="11595"/>
  </bookViews>
  <sheets>
    <sheet name="26-1 Метал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6" i="1"/>
  <c r="K40" i="1"/>
  <c r="J40" i="1"/>
  <c r="K38" i="1"/>
  <c r="J38" i="1"/>
  <c r="K36" i="1"/>
  <c r="J36" i="1"/>
  <c r="K34" i="1"/>
  <c r="J34" i="1"/>
  <c r="K32" i="1"/>
  <c r="J32" i="1"/>
  <c r="K28" i="1"/>
  <c r="K27" i="1"/>
  <c r="K26" i="1"/>
  <c r="K25" i="1"/>
  <c r="K24" i="1"/>
  <c r="J24" i="1"/>
  <c r="K22" i="1"/>
  <c r="J22" i="1"/>
  <c r="K21" i="1"/>
  <c r="J21" i="1"/>
  <c r="K20" i="1"/>
  <c r="J20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J6" i="1"/>
  <c r="K5" i="1"/>
  <c r="K6" i="1" s="1"/>
  <c r="K4" i="1" s="1"/>
  <c r="K42" i="1" s="1"/>
  <c r="J5" i="1"/>
  <c r="J4" i="1"/>
  <c r="J42" i="1" s="1"/>
  <c r="J43" i="1" l="1"/>
  <c r="J44" i="1" s="1"/>
  <c r="K43" i="1"/>
  <c r="K44" i="1" s="1"/>
</calcChain>
</file>

<file path=xl/sharedStrings.xml><?xml version="1.0" encoding="utf-8"?>
<sst xmlns="http://schemas.openxmlformats.org/spreadsheetml/2006/main" count="71" uniqueCount="71">
  <si>
    <t xml:space="preserve">ОТЧЁТ по расходам на обслуживание </t>
  </si>
  <si>
    <t>ЖСК "Металл", ул. Зубковой д. 26 кор.1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</si>
  <si>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</si>
  <si>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</si>
  <si>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</si>
  <si>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</si>
  <si>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</si>
  <si>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</si>
  <si>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</si>
  <si>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20.28%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</si>
  <si>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</si>
  <si>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</si>
  <si>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</si>
  <si>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</si>
  <si>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</si>
  <si>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</si>
  <si>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</si>
  <si>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</si>
  <si>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</si>
  <si>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</si>
  <si>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</si>
  <si>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</si>
  <si>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</si>
  <si>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</si>
  <si>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</si>
  <si>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</si>
  <si>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</si>
  <si>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</si>
  <si>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</si>
  <si>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 Каналов</t>
  </si>
  <si>
    <t>2.7.</t>
  </si>
  <si>
    <t>Тех.диагн.внутрид.газового обор.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</si>
  <si>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</si>
  <si>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</si>
  <si>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</si>
  <si>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</si>
  <si>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</si>
  <si>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</si>
  <si>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</si>
  <si>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</si>
  <si>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</si>
  <si>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</si>
  <si>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</si>
  <si>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Ф-2)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</si>
  <si>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</si>
  <si>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</si>
  <si>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</si>
  <si>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</si>
  <si>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</si>
  <si>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межпанельных швов</t>
  </si>
  <si>
    <t>4.5.</t>
  </si>
  <si>
    <t>Устройство лавочек</t>
  </si>
  <si>
    <t>5.</t>
  </si>
  <si>
    <t>Отчисления в ЖСК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</si>
  <si>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</si>
  <si>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</si>
  <si>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</si>
  <si>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</si>
  <si>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</si>
  <si>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</si>
  <si>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</si>
  <si>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ХВС,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</si>
  <si>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</si>
  <si>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</si>
  <si>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</si>
  <si>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</si>
  <si>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</si>
  <si>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"Потенциал"</t>
  </si>
  <si>
    <t>Хренов Д.В.</t>
  </si>
  <si>
    <t>Председатель ЖСК "Металл"</t>
  </si>
  <si>
    <t>Труфанова Т.Н.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</si>
</sst>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2" fillId="0" borderId="0" xfId="0" applyNumberFormat="1" applyFont="1"/>
    <xf numFmtId="164" fontId="3" fillId="0" borderId="0" xfId="0" applyNumberFormat="1" applyFont="1" applyBorder="1"/>
    <xf numFmtId="164" fontId="2" fillId="0" borderId="0" xfId="0" applyNumberFormat="1" applyFont="1"/>
    <xf numFmtId="49" fontId="2" fillId="0" borderId="0" xfId="0" applyNumberFormat="1" applyFont="1"/>
    <xf numFmtId="0" fontId="4" fillId="0" borderId="0" xfId="0" applyFont="1"/>
    <xf numFmtId="49" fontId="4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tabSelected="1" workbookViewId="0">
      <selection activeCell="O6" sqref="O6"/>
    </sheetView>
  </sheetViews>
  <sheetFormatPr defaultRowHeight="12.75" x14ac:dyDescent="0.2"/>
  <cols>
    <col min="1" max="1" width="2.42578125" customWidth="1"/>
    <col min="2" max="2" width="3.85546875" customWidth="1"/>
    <col min="3" max="5" width="8.5703125" customWidth="1"/>
    <col min="6" max="6" width="11.140625" customWidth="1"/>
    <col min="7" max="7" width="7.28515625" customWidth="1"/>
    <col min="8" max="8" width="4.7109375" customWidth="1"/>
    <col min="9" max="9" width="3.5703125" customWidth="1"/>
    <col min="10" max="11" width="17.85546875" customWidth="1"/>
    <col min="12" max="12" width="2" customWidth="1"/>
    <col min="13" max="13" width="14.85546875" customWidth="1"/>
    <col min="14" max="14" width="17.85546875" customWidth="1"/>
    <col min="15" max="15" width="11.7109375" customWidth="1"/>
    <col min="16" max="16" width="13.140625" customWidth="1"/>
  </cols>
  <sheetData>
    <row r="1" spans="1:11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3" customFormat="1" ht="15.75" x14ac:dyDescent="0.25">
      <c r="J3" s="4" t="s">
        <v>2</v>
      </c>
      <c r="K3" s="4" t="s">
        <v>3</v>
      </c>
    </row>
    <row r="4" spans="1:11" s="3" customFormat="1" ht="15.75" x14ac:dyDescent="0.25">
      <c r="A4" s="5" t="s">
        <v>4</v>
      </c>
      <c r="B4" s="6" t="s">
        <v>5</v>
      </c>
      <c r="C4" s="6"/>
      <c r="D4" s="6"/>
      <c r="E4" s="6"/>
      <c r="F4" s="6"/>
      <c r="G4" s="6"/>
      <c r="H4" s="6"/>
      <c r="J4" s="7">
        <f>SUM(J5:J9)</f>
        <v>787268</v>
      </c>
      <c r="K4" s="7">
        <f>SUM(K5:K9)</f>
        <v>749690.79999999993</v>
      </c>
    </row>
    <row r="5" spans="1:11" s="3" customFormat="1" ht="15" x14ac:dyDescent="0.2">
      <c r="B5" s="3" t="s">
        <v>6</v>
      </c>
      <c r="C5" s="8" t="s">
        <v>7</v>
      </c>
      <c r="D5" s="8"/>
      <c r="E5" s="8"/>
      <c r="F5" s="8"/>
      <c r="J5" s="9">
        <f>45579*10+43689*2</f>
        <v>543168</v>
      </c>
      <c r="K5" s="9">
        <f>145968.52+134145.25+137499.7+135906.58</f>
        <v>553520.05000000005</v>
      </c>
    </row>
    <row r="6" spans="1:11" s="3" customFormat="1" ht="15" x14ac:dyDescent="0.2">
      <c r="B6" s="3" t="s">
        <v>8</v>
      </c>
      <c r="C6" s="8" t="s">
        <v>9</v>
      </c>
      <c r="D6" s="8"/>
      <c r="E6" s="8"/>
      <c r="F6" s="8"/>
      <c r="J6" s="10">
        <f>82863+35665</f>
        <v>118528</v>
      </c>
      <c r="K6" s="10">
        <f>ROUND(K5*20.28/100,2)</f>
        <v>112253.87</v>
      </c>
    </row>
    <row r="7" spans="1:11" s="3" customFormat="1" ht="15" x14ac:dyDescent="0.2">
      <c r="B7" s="3" t="s">
        <v>10</v>
      </c>
      <c r="C7" s="8" t="s">
        <v>11</v>
      </c>
      <c r="D7" s="8"/>
      <c r="E7" s="8"/>
      <c r="J7" s="9">
        <f>1832*10+1757*2</f>
        <v>21834</v>
      </c>
      <c r="K7" s="9">
        <f>2256.72+17046.18+4299.52+2590.57</f>
        <v>26192.99</v>
      </c>
    </row>
    <row r="8" spans="1:11" s="3" customFormat="1" ht="15" x14ac:dyDescent="0.2">
      <c r="B8" s="3" t="s">
        <v>12</v>
      </c>
      <c r="C8" s="3" t="s">
        <v>13</v>
      </c>
      <c r="J8" s="9">
        <f>7660*10+4600*2</f>
        <v>85800</v>
      </c>
      <c r="K8" s="9">
        <f>12071.2+13580.1+13580.1+14334.55</f>
        <v>53565.95</v>
      </c>
    </row>
    <row r="9" spans="1:11" s="3" customFormat="1" ht="15" x14ac:dyDescent="0.2">
      <c r="B9" s="3" t="s">
        <v>14</v>
      </c>
      <c r="C9" s="3" t="s">
        <v>15</v>
      </c>
      <c r="J9" s="9">
        <f>1706*10+439*2</f>
        <v>17938</v>
      </c>
      <c r="K9" s="9">
        <f>0+2840.05+0+1317.89</f>
        <v>4157.9400000000005</v>
      </c>
    </row>
    <row r="10" spans="1:11" s="3" customFormat="1" ht="15" x14ac:dyDescent="0.2">
      <c r="J10" s="9"/>
      <c r="K10" s="9"/>
    </row>
    <row r="11" spans="1:11" s="3" customFormat="1" ht="15.75" x14ac:dyDescent="0.25">
      <c r="A11" s="5" t="s">
        <v>16</v>
      </c>
      <c r="B11" s="6" t="s">
        <v>17</v>
      </c>
      <c r="C11" s="6"/>
      <c r="D11" s="6"/>
      <c r="E11" s="6"/>
      <c r="F11" s="6"/>
      <c r="J11" s="7">
        <f>SUM(J12:J18)</f>
        <v>785302</v>
      </c>
      <c r="K11" s="7">
        <f>SUM(K12:K18)</f>
        <v>976932.8</v>
      </c>
    </row>
    <row r="12" spans="1:11" s="3" customFormat="1" ht="15" x14ac:dyDescent="0.2">
      <c r="B12" s="11" t="s">
        <v>18</v>
      </c>
      <c r="C12" s="8" t="s">
        <v>19</v>
      </c>
      <c r="D12" s="8"/>
      <c r="E12" s="11"/>
      <c r="F12" s="11"/>
      <c r="J12" s="9">
        <f>21441*10+20841*2</f>
        <v>256092</v>
      </c>
      <c r="K12" s="9">
        <f>73980+74802+75624+75624</f>
        <v>300030</v>
      </c>
    </row>
    <row r="13" spans="1:11" s="3" customFormat="1" ht="15" x14ac:dyDescent="0.2">
      <c r="B13" s="3" t="s">
        <v>20</v>
      </c>
      <c r="C13" s="8" t="s">
        <v>21</v>
      </c>
      <c r="D13" s="8"/>
      <c r="E13" s="8"/>
      <c r="J13" s="9">
        <f>21597*10+21906*2</f>
        <v>259782</v>
      </c>
      <c r="K13" s="9">
        <f>77760+78624+79488+79488</f>
        <v>315360</v>
      </c>
    </row>
    <row r="14" spans="1:11" s="3" customFormat="1" ht="15" x14ac:dyDescent="0.2">
      <c r="B14" s="3" t="s">
        <v>22</v>
      </c>
      <c r="C14" s="8" t="s">
        <v>23</v>
      </c>
      <c r="D14" s="8"/>
      <c r="E14" s="8"/>
      <c r="F14" s="8"/>
      <c r="J14" s="9">
        <f>1022*12</f>
        <v>12264</v>
      </c>
      <c r="K14" s="9">
        <f>3067.98+3067.98+3067.98+3067.98</f>
        <v>12271.92</v>
      </c>
    </row>
    <row r="15" spans="1:11" s="3" customFormat="1" ht="15" x14ac:dyDescent="0.2">
      <c r="B15" s="3" t="s">
        <v>24</v>
      </c>
      <c r="C15" s="8" t="s">
        <v>25</v>
      </c>
      <c r="D15" s="8"/>
      <c r="E15" s="8"/>
      <c r="F15" s="8"/>
      <c r="G15" s="8"/>
      <c r="H15" s="8"/>
      <c r="J15" s="9">
        <f>8896*12</f>
        <v>106752</v>
      </c>
      <c r="K15" s="9">
        <f>26687.22+26687.22+26687.22+26687.22</f>
        <v>106748.88</v>
      </c>
    </row>
    <row r="16" spans="1:11" s="3" customFormat="1" ht="15" x14ac:dyDescent="0.2">
      <c r="B16" s="3" t="s">
        <v>26</v>
      </c>
      <c r="C16" s="8" t="s">
        <v>27</v>
      </c>
      <c r="D16" s="8"/>
      <c r="E16" s="12"/>
      <c r="F16" s="12"/>
      <c r="J16" s="9">
        <f>11086*12</f>
        <v>133032</v>
      </c>
      <c r="K16" s="9">
        <f>106982+0+0+0</f>
        <v>106982</v>
      </c>
    </row>
    <row r="17" spans="1:11" s="3" customFormat="1" ht="15" x14ac:dyDescent="0.2">
      <c r="B17" s="3" t="s">
        <v>28</v>
      </c>
      <c r="C17" s="11" t="s">
        <v>29</v>
      </c>
      <c r="D17" s="11"/>
      <c r="E17" s="12"/>
      <c r="F17" s="12"/>
      <c r="J17" s="9">
        <f>787*2</f>
        <v>1574</v>
      </c>
      <c r="K17" s="9">
        <v>0</v>
      </c>
    </row>
    <row r="18" spans="1:11" s="3" customFormat="1" ht="15" x14ac:dyDescent="0.2">
      <c r="B18" s="3" t="s">
        <v>30</v>
      </c>
      <c r="C18" s="11" t="s">
        <v>31</v>
      </c>
      <c r="D18" s="11"/>
      <c r="E18" s="12"/>
      <c r="F18" s="12"/>
      <c r="J18" s="9">
        <f>7903*2</f>
        <v>15806</v>
      </c>
      <c r="K18" s="9">
        <v>135540</v>
      </c>
    </row>
    <row r="19" spans="1:11" s="3" customFormat="1" ht="15.75" x14ac:dyDescent="0.25">
      <c r="A19" s="5" t="s">
        <v>32</v>
      </c>
      <c r="B19" s="6" t="s">
        <v>33</v>
      </c>
      <c r="C19" s="6"/>
      <c r="D19" s="6"/>
      <c r="E19" s="6"/>
      <c r="F19" s="6"/>
      <c r="G19" s="6"/>
      <c r="H19" s="6"/>
      <c r="J19" s="7">
        <f>SUM(J20:J22)</f>
        <v>1002140</v>
      </c>
      <c r="K19" s="7">
        <f>SUM(K20:K22)</f>
        <v>967493.8</v>
      </c>
    </row>
    <row r="20" spans="1:11" s="3" customFormat="1" ht="15" x14ac:dyDescent="0.2">
      <c r="B20" s="11" t="s">
        <v>34</v>
      </c>
      <c r="C20" s="8" t="s">
        <v>35</v>
      </c>
      <c r="D20" s="8"/>
      <c r="E20" s="8"/>
      <c r="F20" s="8"/>
      <c r="G20" s="8"/>
      <c r="J20" s="9">
        <f>79632*10+67012*2</f>
        <v>930344</v>
      </c>
      <c r="K20" s="9">
        <f>238887.6+238887.6+226270.1+201035.1</f>
        <v>905080.4</v>
      </c>
    </row>
    <row r="21" spans="1:11" s="3" customFormat="1" ht="15" x14ac:dyDescent="0.2">
      <c r="B21" s="11" t="s">
        <v>36</v>
      </c>
      <c r="C21" s="8" t="s">
        <v>37</v>
      </c>
      <c r="D21" s="8"/>
      <c r="E21" s="8"/>
      <c r="F21" s="8"/>
      <c r="G21" s="8"/>
      <c r="H21" s="8"/>
      <c r="J21" s="9">
        <f>4983*12</f>
        <v>59796</v>
      </c>
      <c r="K21" s="9">
        <f>0+0+12813+46981</f>
        <v>59794</v>
      </c>
    </row>
    <row r="22" spans="1:11" s="3" customFormat="1" ht="15" x14ac:dyDescent="0.2">
      <c r="B22" s="3" t="s">
        <v>38</v>
      </c>
      <c r="C22" s="3" t="s">
        <v>39</v>
      </c>
      <c r="J22" s="9">
        <f>1125*10+375*2</f>
        <v>12000</v>
      </c>
      <c r="K22" s="9">
        <f>14*187.1</f>
        <v>2619.4</v>
      </c>
    </row>
    <row r="23" spans="1:11" s="3" customFormat="1" ht="15" x14ac:dyDescent="0.2">
      <c r="J23" s="9"/>
      <c r="K23" s="9"/>
    </row>
    <row r="24" spans="1:11" s="3" customFormat="1" ht="15.75" x14ac:dyDescent="0.25">
      <c r="A24" s="5" t="s">
        <v>40</v>
      </c>
      <c r="B24" s="13" t="s">
        <v>41</v>
      </c>
      <c r="C24" s="13"/>
      <c r="D24" s="13"/>
      <c r="J24" s="7">
        <f>60390*10+81340*2</f>
        <v>766580</v>
      </c>
      <c r="K24" s="7">
        <f>SUM(K25:K30)</f>
        <v>821965.86</v>
      </c>
    </row>
    <row r="25" spans="1:11" s="3" customFormat="1" ht="15" x14ac:dyDescent="0.2">
      <c r="B25" s="3" t="s">
        <v>42</v>
      </c>
      <c r="C25" s="8" t="s">
        <v>43</v>
      </c>
      <c r="D25" s="8"/>
      <c r="J25" s="9"/>
      <c r="K25" s="9">
        <f>16383.84+155165.87+256934.32+102429.72</f>
        <v>530913.75</v>
      </c>
    </row>
    <row r="26" spans="1:11" s="3" customFormat="1" ht="15" x14ac:dyDescent="0.2">
      <c r="B26" s="3" t="s">
        <v>44</v>
      </c>
      <c r="C26" s="8" t="s">
        <v>45</v>
      </c>
      <c r="D26" s="8"/>
      <c r="E26" s="8"/>
      <c r="F26" s="8"/>
      <c r="G26" s="8"/>
      <c r="J26" s="9"/>
      <c r="K26" s="9">
        <f>67469.48+70427.67+46557.44+61723.89</f>
        <v>246178.47999999998</v>
      </c>
    </row>
    <row r="27" spans="1:11" s="3" customFormat="1" ht="15" x14ac:dyDescent="0.2">
      <c r="B27" s="3" t="s">
        <v>46</v>
      </c>
      <c r="C27" s="8" t="s">
        <v>47</v>
      </c>
      <c r="D27" s="8"/>
      <c r="E27" s="8"/>
      <c r="F27" s="8"/>
      <c r="G27" s="8"/>
      <c r="H27" s="8"/>
      <c r="J27" s="9"/>
      <c r="K27" s="9">
        <f>9407.94+11559.02+17356.62+830.05</f>
        <v>39153.630000000005</v>
      </c>
    </row>
    <row r="28" spans="1:11" s="3" customFormat="1" ht="15" x14ac:dyDescent="0.2">
      <c r="B28" s="3" t="s">
        <v>48</v>
      </c>
      <c r="C28" s="11" t="s">
        <v>49</v>
      </c>
      <c r="D28" s="11"/>
      <c r="E28" s="11"/>
      <c r="F28" s="11"/>
      <c r="G28" s="12"/>
      <c r="H28" s="12"/>
      <c r="J28" s="9"/>
      <c r="K28" s="9">
        <f>28.6*200</f>
        <v>5720</v>
      </c>
    </row>
    <row r="29" spans="1:11" s="3" customFormat="1" ht="15" x14ac:dyDescent="0.2">
      <c r="B29" s="3" t="s">
        <v>50</v>
      </c>
      <c r="C29" s="11" t="s">
        <v>51</v>
      </c>
      <c r="D29" s="11"/>
      <c r="E29" s="11"/>
      <c r="F29" s="11"/>
      <c r="G29" s="12"/>
      <c r="H29" s="12"/>
      <c r="J29" s="9"/>
      <c r="K29" s="9"/>
    </row>
    <row r="30" spans="1:11" s="3" customFormat="1" ht="15" x14ac:dyDescent="0.2">
      <c r="C30" s="11"/>
      <c r="D30" s="11"/>
      <c r="E30" s="11"/>
      <c r="F30" s="11"/>
      <c r="G30" s="12"/>
      <c r="H30" s="12"/>
      <c r="J30" s="9"/>
      <c r="K30" s="9"/>
    </row>
    <row r="31" spans="1:11" s="3" customFormat="1" ht="15" x14ac:dyDescent="0.2">
      <c r="C31" s="11"/>
      <c r="D31" s="11"/>
      <c r="E31" s="11"/>
      <c r="F31" s="11"/>
      <c r="G31" s="12"/>
      <c r="H31" s="12"/>
      <c r="J31" s="9"/>
      <c r="K31" s="9"/>
    </row>
    <row r="32" spans="1:11" s="3" customFormat="1" ht="15.75" x14ac:dyDescent="0.25">
      <c r="A32" s="5" t="s">
        <v>52</v>
      </c>
      <c r="B32" s="14" t="s">
        <v>53</v>
      </c>
      <c r="C32" s="14"/>
      <c r="D32" s="14"/>
      <c r="E32" s="11"/>
      <c r="F32" s="11"/>
      <c r="J32" s="7">
        <f>22090*12</f>
        <v>265080</v>
      </c>
      <c r="K32" s="7">
        <f>66255+66255+66255+66255</f>
        <v>265020</v>
      </c>
    </row>
    <row r="33" spans="1:14" s="3" customFormat="1" ht="15" x14ac:dyDescent="0.2">
      <c r="B33" s="11"/>
      <c r="C33" s="11"/>
      <c r="D33" s="11"/>
      <c r="J33" s="9"/>
      <c r="K33" s="9"/>
    </row>
    <row r="34" spans="1:14" s="3" customFormat="1" ht="15.75" x14ac:dyDescent="0.25">
      <c r="A34" s="5" t="s">
        <v>54</v>
      </c>
      <c r="B34" s="6" t="s">
        <v>55</v>
      </c>
      <c r="C34" s="6"/>
      <c r="D34" s="6"/>
      <c r="E34" s="6"/>
      <c r="J34" s="7">
        <f>27320*10+36160*2</f>
        <v>345520</v>
      </c>
      <c r="K34" s="7">
        <f>81645.02+82036.64+86436.65+91595.49</f>
        <v>341713.8</v>
      </c>
    </row>
    <row r="35" spans="1:14" s="3" customFormat="1" ht="15" x14ac:dyDescent="0.2">
      <c r="J35" s="9"/>
      <c r="K35" s="9"/>
    </row>
    <row r="36" spans="1:14" s="3" customFormat="1" ht="15.75" x14ac:dyDescent="0.25">
      <c r="A36" s="5" t="s">
        <v>56</v>
      </c>
      <c r="B36" s="6" t="s">
        <v>57</v>
      </c>
      <c r="C36" s="6"/>
      <c r="D36" s="6"/>
      <c r="E36" s="6"/>
      <c r="F36" s="6"/>
      <c r="J36" s="7">
        <f>109900*10+106360*2</f>
        <v>1311720</v>
      </c>
      <c r="K36" s="7">
        <f>326731.85+328166.65+334048.44+275778.03</f>
        <v>1264724.97</v>
      </c>
    </row>
    <row r="37" spans="1:14" s="3" customFormat="1" ht="15" x14ac:dyDescent="0.2">
      <c r="J37" s="9"/>
      <c r="K37" s="9"/>
    </row>
    <row r="38" spans="1:14" s="3" customFormat="1" ht="15.75" x14ac:dyDescent="0.25">
      <c r="A38" s="5" t="s">
        <v>58</v>
      </c>
      <c r="B38" s="5" t="s">
        <v>59</v>
      </c>
      <c r="J38" s="7">
        <f>8370*10+7090*2</f>
        <v>97880</v>
      </c>
      <c r="K38" s="7">
        <f>33392.97+2320.32+0+26357.76</f>
        <v>62071.05</v>
      </c>
    </row>
    <row r="39" spans="1:14" s="3" customFormat="1" ht="15.75" x14ac:dyDescent="0.25">
      <c r="A39" s="5"/>
      <c r="B39" s="5"/>
      <c r="J39" s="7"/>
      <c r="K39" s="7"/>
    </row>
    <row r="40" spans="1:14" s="5" customFormat="1" ht="15.75" x14ac:dyDescent="0.25">
      <c r="A40" s="5" t="s">
        <v>60</v>
      </c>
      <c r="B40" s="5" t="s">
        <v>61</v>
      </c>
      <c r="J40" s="7">
        <f>67500*10+71470*2</f>
        <v>817940</v>
      </c>
      <c r="K40" s="7">
        <f>202497+202497+203388.84+210986.13</f>
        <v>819368.97</v>
      </c>
    </row>
    <row r="41" spans="1:14" s="5" customFormat="1" ht="15.75" x14ac:dyDescent="0.25">
      <c r="J41" s="7"/>
      <c r="K41" s="7"/>
    </row>
    <row r="42" spans="1:14" s="3" customFormat="1" ht="15.75" x14ac:dyDescent="0.25">
      <c r="B42" s="5" t="s">
        <v>62</v>
      </c>
      <c r="J42" s="7">
        <f>J4+J11+J19+J24+J32+J34+J36+J38+J40</f>
        <v>6179430</v>
      </c>
      <c r="K42" s="7">
        <f>K4+K11+K19+K24+K32+K34+K36+K38+K40</f>
        <v>6268982.0499999998</v>
      </c>
      <c r="M42" s="15"/>
      <c r="N42" s="15"/>
    </row>
    <row r="43" spans="1:14" s="3" customFormat="1" ht="15.75" x14ac:dyDescent="0.25">
      <c r="B43" s="5" t="s">
        <v>63</v>
      </c>
      <c r="J43" s="9">
        <f>ROUND(J42*7/100,2)</f>
        <v>432560.1</v>
      </c>
      <c r="K43" s="9">
        <f>ROUND(K42*7/100,2)</f>
        <v>438828.74</v>
      </c>
      <c r="M43" s="15"/>
      <c r="N43" s="15"/>
    </row>
    <row r="44" spans="1:14" s="3" customFormat="1" ht="15.75" x14ac:dyDescent="0.25">
      <c r="B44" s="6" t="s">
        <v>64</v>
      </c>
      <c r="C44" s="6"/>
      <c r="D44" s="6"/>
      <c r="J44" s="7">
        <f>SUM(J42:J43)</f>
        <v>6611990.0999999996</v>
      </c>
      <c r="K44" s="7">
        <f>SUM(K42:K43)</f>
        <v>6707810.79</v>
      </c>
    </row>
    <row r="45" spans="1:14" s="3" customFormat="1" ht="15.75" x14ac:dyDescent="0.25">
      <c r="B45" s="14"/>
      <c r="C45" s="14"/>
      <c r="D45" s="14"/>
      <c r="J45" s="7"/>
      <c r="K45" s="7"/>
    </row>
    <row r="46" spans="1:14" s="5" customFormat="1" ht="15.75" x14ac:dyDescent="0.25">
      <c r="A46" s="6" t="s">
        <v>65</v>
      </c>
      <c r="B46" s="6"/>
      <c r="C46" s="6"/>
      <c r="D46" s="6"/>
      <c r="J46" s="7"/>
      <c r="K46" s="7">
        <f>1641271.41+1641271.41+1650284.43+1688742.07</f>
        <v>6621569.3200000003</v>
      </c>
    </row>
    <row r="47" spans="1:14" s="5" customFormat="1" ht="15.75" x14ac:dyDescent="0.25">
      <c r="A47" s="14"/>
      <c r="B47" s="14"/>
      <c r="C47" s="14"/>
      <c r="D47" s="14"/>
      <c r="J47" s="7"/>
      <c r="K47" s="7"/>
    </row>
    <row r="48" spans="1:14" s="5" customFormat="1" ht="15.75" x14ac:dyDescent="0.25">
      <c r="A48" s="6" t="s">
        <v>66</v>
      </c>
      <c r="B48" s="6"/>
      <c r="C48" s="6"/>
      <c r="D48" s="6"/>
      <c r="E48" s="6"/>
      <c r="F48" s="6"/>
      <c r="J48" s="7"/>
      <c r="K48" s="7">
        <f>1565151.63+1657495.61+1596303.57+1769107.24</f>
        <v>6588058.0500000007</v>
      </c>
    </row>
    <row r="49" spans="1:11" s="5" customFormat="1" ht="15.75" x14ac:dyDescent="0.25">
      <c r="A49" s="14"/>
      <c r="B49" s="14"/>
      <c r="C49" s="14"/>
      <c r="D49" s="14"/>
      <c r="E49" s="14"/>
      <c r="F49" s="14"/>
      <c r="J49" s="16"/>
      <c r="K49" s="16"/>
    </row>
    <row r="50" spans="1:11" s="3" customFormat="1" ht="15" x14ac:dyDescent="0.2">
      <c r="J50" s="17"/>
      <c r="K50" s="17"/>
    </row>
    <row r="51" spans="1:11" s="3" customFormat="1" ht="15" x14ac:dyDescent="0.2">
      <c r="B51" s="3" t="s">
        <v>67</v>
      </c>
      <c r="J51" s="18" t="s">
        <v>68</v>
      </c>
      <c r="K51" s="17"/>
    </row>
    <row r="52" spans="1:11" s="3" customFormat="1" ht="15" x14ac:dyDescent="0.2">
      <c r="J52" s="18"/>
      <c r="K52" s="17"/>
    </row>
    <row r="53" spans="1:11" s="3" customFormat="1" ht="15" x14ac:dyDescent="0.2">
      <c r="J53" s="17"/>
      <c r="K53" s="17"/>
    </row>
    <row r="54" spans="1:11" s="3" customFormat="1" ht="15" x14ac:dyDescent="0.2">
      <c r="B54" s="3" t="s">
        <v>69</v>
      </c>
      <c r="I54" s="19"/>
      <c r="J54" s="20" t="s">
        <v>70</v>
      </c>
      <c r="K54" s="17"/>
    </row>
    <row r="55" spans="1:11" s="3" customFormat="1" ht="15" x14ac:dyDescent="0.2">
      <c r="J55" s="17"/>
      <c r="K55" s="17"/>
    </row>
    <row r="56" spans="1:11" s="3" customFormat="1" ht="15" x14ac:dyDescent="0.2">
      <c r="J56" s="17"/>
      <c r="K56" s="17"/>
    </row>
    <row r="57" spans="1:11" s="3" customFormat="1" ht="15" x14ac:dyDescent="0.2">
      <c r="J57" s="17"/>
      <c r="K57" s="17"/>
    </row>
    <row r="58" spans="1:11" s="3" customFormat="1" ht="15" x14ac:dyDescent="0.2"/>
    <row r="59" spans="1:11" s="3" customFormat="1" ht="15" x14ac:dyDescent="0.2"/>
    <row r="60" spans="1:11" s="3" customFormat="1" ht="15" x14ac:dyDescent="0.2"/>
    <row r="61" spans="1:11" s="3" customFormat="1" ht="15" x14ac:dyDescent="0.2"/>
    <row r="62" spans="1:11" s="3" customFormat="1" ht="15" x14ac:dyDescent="0.2"/>
    <row r="63" spans="1:11" s="3" customFormat="1" ht="15" x14ac:dyDescent="0.2"/>
    <row r="64" spans="1:11" s="3" customFormat="1" ht="15" x14ac:dyDescent="0.2"/>
    <row r="65" s="3" customFormat="1" ht="15" x14ac:dyDescent="0.2"/>
    <row r="66" s="3" customFormat="1" ht="15" x14ac:dyDescent="0.2"/>
    <row r="67" s="3" customFormat="1" ht="15" x14ac:dyDescent="0.2"/>
    <row r="68" s="3" customFormat="1" ht="15" x14ac:dyDescent="0.2"/>
    <row r="69" s="3" customFormat="1" ht="15" x14ac:dyDescent="0.2"/>
    <row r="70" s="3" customFormat="1" ht="15" x14ac:dyDescent="0.2"/>
    <row r="71" s="3" customFormat="1" ht="15" x14ac:dyDescent="0.2"/>
    <row r="72" s="3" customFormat="1" ht="15" x14ac:dyDescent="0.2"/>
    <row r="73" s="3" customFormat="1" ht="15" x14ac:dyDescent="0.2"/>
    <row r="74" s="3" customFormat="1" ht="15" x14ac:dyDescent="0.2"/>
    <row r="75" s="3" customFormat="1" ht="15" x14ac:dyDescent="0.2"/>
    <row r="76" s="3" customFormat="1" ht="15" x14ac:dyDescent="0.2"/>
    <row r="77" s="3" customFormat="1" ht="15" x14ac:dyDescent="0.2"/>
    <row r="78" s="3" customFormat="1" ht="15" x14ac:dyDescent="0.2"/>
    <row r="79" s="3" customFormat="1" ht="15" x14ac:dyDescent="0.2"/>
    <row r="80" s="3" customFormat="1" ht="15" x14ac:dyDescent="0.2"/>
    <row r="81" s="3" customFormat="1" ht="15" x14ac:dyDescent="0.2"/>
    <row r="82" s="3" customFormat="1" ht="15" x14ac:dyDescent="0.2"/>
    <row r="83" s="3" customFormat="1" ht="15" x14ac:dyDescent="0.2"/>
    <row r="84" s="3" customFormat="1" ht="15" x14ac:dyDescent="0.2"/>
    <row r="85" s="3" customFormat="1" ht="15" x14ac:dyDescent="0.2"/>
    <row r="86" s="3" customFormat="1" ht="15" x14ac:dyDescent="0.2"/>
    <row r="87" s="3" customFormat="1" ht="15" x14ac:dyDescent="0.2"/>
    <row r="88" s="3" customFormat="1" ht="15" x14ac:dyDescent="0.2"/>
    <row r="89" s="3" customFormat="1" ht="15" x14ac:dyDescent="0.2"/>
    <row r="90" s="3" customFormat="1" ht="15" x14ac:dyDescent="0.2"/>
    <row r="91" s="3" customFormat="1" ht="15" x14ac:dyDescent="0.2"/>
    <row r="92" s="3" customFormat="1" ht="15" x14ac:dyDescent="0.2"/>
    <row r="93" s="3" customFormat="1" ht="15" x14ac:dyDescent="0.2"/>
    <row r="94" s="3" customFormat="1" ht="15" x14ac:dyDescent="0.2"/>
    <row r="95" s="3" customFormat="1" ht="15" x14ac:dyDescent="0.2"/>
    <row r="96" s="3" customFormat="1" ht="15" x14ac:dyDescent="0.2"/>
    <row r="97" s="3" customFormat="1" ht="15" x14ac:dyDescent="0.2"/>
    <row r="98" s="3" customFormat="1" ht="15" x14ac:dyDescent="0.2"/>
    <row r="99" s="3" customFormat="1" ht="15" x14ac:dyDescent="0.2"/>
    <row r="100" s="3" customFormat="1" ht="15" x14ac:dyDescent="0.2"/>
    <row r="101" s="3" customFormat="1" ht="15" x14ac:dyDescent="0.2"/>
    <row r="102" s="3" customFormat="1" ht="15" x14ac:dyDescent="0.2"/>
    <row r="103" s="3" customFormat="1" ht="15" x14ac:dyDescent="0.2"/>
    <row r="104" s="3" customFormat="1" ht="15" x14ac:dyDescent="0.2"/>
    <row r="105" s="3" customFormat="1" ht="15" x14ac:dyDescent="0.2"/>
    <row r="106" s="3" customFormat="1" ht="15" x14ac:dyDescent="0.2"/>
    <row r="107" s="3" customFormat="1" ht="15" x14ac:dyDescent="0.2"/>
    <row r="108" s="3" customFormat="1" ht="15" x14ac:dyDescent="0.2"/>
    <row r="109" s="3" customFormat="1" ht="15" x14ac:dyDescent="0.2"/>
    <row r="110" s="3" customFormat="1" ht="15" x14ac:dyDescent="0.2"/>
    <row r="111" s="3" customFormat="1" ht="15" x14ac:dyDescent="0.2"/>
    <row r="112" s="3" customFormat="1" ht="15" x14ac:dyDescent="0.2"/>
    <row r="113" s="3" customFormat="1" ht="15" x14ac:dyDescent="0.2"/>
    <row r="114" s="3" customFormat="1" ht="15" x14ac:dyDescent="0.2"/>
    <row r="115" s="3" customFormat="1" ht="15" x14ac:dyDescent="0.2"/>
    <row r="116" s="3" customFormat="1" ht="15" x14ac:dyDescent="0.2"/>
    <row r="117" s="3" customFormat="1" ht="15" x14ac:dyDescent="0.2"/>
    <row r="118" s="3" customFormat="1" ht="15" x14ac:dyDescent="0.2"/>
    <row r="119" s="3" customFormat="1" ht="15" x14ac:dyDescent="0.2"/>
    <row r="120" s="3" customFormat="1" ht="15" x14ac:dyDescent="0.2"/>
    <row r="121" s="3" customFormat="1" ht="15" x14ac:dyDescent="0.2"/>
    <row r="122" s="3" customFormat="1" ht="15" x14ac:dyDescent="0.2"/>
    <row r="123" s="3" customFormat="1" ht="15" x14ac:dyDescent="0.2"/>
    <row r="124" s="3" customFormat="1" ht="15" x14ac:dyDescent="0.2"/>
    <row r="125" s="3" customFormat="1" ht="15" x14ac:dyDescent="0.2"/>
    <row r="126" s="3" customFormat="1" ht="15" x14ac:dyDescent="0.2"/>
    <row r="127" s="3" customFormat="1" ht="15" x14ac:dyDescent="0.2"/>
    <row r="128" s="3" customFormat="1" ht="15" x14ac:dyDescent="0.2"/>
    <row r="129" s="3" customFormat="1" ht="15" x14ac:dyDescent="0.2"/>
    <row r="130" s="3" customFormat="1" ht="15" x14ac:dyDescent="0.2"/>
    <row r="131" s="3" customFormat="1" ht="15" x14ac:dyDescent="0.2"/>
    <row r="132" s="3" customFormat="1" ht="15" x14ac:dyDescent="0.2"/>
    <row r="133" s="3" customFormat="1" ht="15" x14ac:dyDescent="0.2"/>
    <row r="134" s="3" customFormat="1" ht="15" x14ac:dyDescent="0.2"/>
    <row r="135" s="3" customFormat="1" ht="15" x14ac:dyDescent="0.2"/>
    <row r="136" s="3" customFormat="1" ht="15" x14ac:dyDescent="0.2"/>
    <row r="137" s="3" customFormat="1" ht="15" x14ac:dyDescent="0.2"/>
    <row r="138" s="3" customFormat="1" ht="15" x14ac:dyDescent="0.2"/>
    <row r="139" s="3" customFormat="1" ht="15" x14ac:dyDescent="0.2"/>
    <row r="140" s="3" customFormat="1" ht="15" x14ac:dyDescent="0.2"/>
    <row r="141" s="3" customFormat="1" ht="15" x14ac:dyDescent="0.2"/>
    <row r="142" s="3" customFormat="1" ht="15" x14ac:dyDescent="0.2"/>
    <row r="143" s="3" customFormat="1" ht="15" x14ac:dyDescent="0.2"/>
    <row r="144" s="3" customFormat="1" ht="15" x14ac:dyDescent="0.2"/>
    <row r="145" s="3" customFormat="1" ht="15" x14ac:dyDescent="0.2"/>
    <row r="146" s="3" customFormat="1" ht="15" x14ac:dyDescent="0.2"/>
    <row r="147" s="3" customFormat="1" ht="15" x14ac:dyDescent="0.2"/>
    <row r="148" s="3" customFormat="1" ht="15" x14ac:dyDescent="0.2"/>
    <row r="149" s="3" customFormat="1" ht="15" x14ac:dyDescent="0.2"/>
    <row r="150" s="3" customFormat="1" ht="15" x14ac:dyDescent="0.2"/>
    <row r="151" s="3" customFormat="1" ht="15" x14ac:dyDescent="0.2"/>
    <row r="152" s="3" customFormat="1" ht="15" x14ac:dyDescent="0.2"/>
    <row r="153" s="3" customFormat="1" ht="15" x14ac:dyDescent="0.2"/>
    <row r="154" s="3" customFormat="1" ht="15" x14ac:dyDescent="0.2"/>
    <row r="155" s="3" customFormat="1" ht="15" x14ac:dyDescent="0.2"/>
    <row r="156" s="3" customFormat="1" ht="15" x14ac:dyDescent="0.2"/>
    <row r="157" s="3" customFormat="1" ht="15" x14ac:dyDescent="0.2"/>
    <row r="158" s="3" customFormat="1" ht="15" x14ac:dyDescent="0.2"/>
    <row r="159" s="3" customFormat="1" ht="15" x14ac:dyDescent="0.2"/>
    <row r="160" s="3" customFormat="1" ht="15" x14ac:dyDescent="0.2"/>
    <row r="161" s="3" customFormat="1" ht="15" x14ac:dyDescent="0.2"/>
    <row r="162" s="3" customFormat="1" ht="15" x14ac:dyDescent="0.2"/>
    <row r="163" s="3" customFormat="1" ht="15" x14ac:dyDescent="0.2"/>
    <row r="164" s="3" customFormat="1" ht="15" x14ac:dyDescent="0.2"/>
    <row r="165" s="3" customFormat="1" ht="15" x14ac:dyDescent="0.2"/>
    <row r="166" s="3" customFormat="1" ht="15" x14ac:dyDescent="0.2"/>
    <row r="167" s="3" customFormat="1" ht="15" x14ac:dyDescent="0.2"/>
    <row r="168" s="3" customFormat="1" ht="15" x14ac:dyDescent="0.2"/>
    <row r="169" s="3" customFormat="1" ht="15" x14ac:dyDescent="0.2"/>
    <row r="170" s="3" customFormat="1" ht="15" x14ac:dyDescent="0.2"/>
    <row r="171" s="3" customFormat="1" ht="15" x14ac:dyDescent="0.2"/>
    <row r="172" s="3" customFormat="1" ht="15" x14ac:dyDescent="0.2"/>
    <row r="173" s="3" customFormat="1" ht="15" x14ac:dyDescent="0.2"/>
    <row r="174" s="3" customFormat="1" ht="15" x14ac:dyDescent="0.2"/>
    <row r="175" s="3" customFormat="1" ht="15" x14ac:dyDescent="0.2"/>
    <row r="176" s="3" customFormat="1" ht="15" x14ac:dyDescent="0.2"/>
    <row r="177" s="3" customFormat="1" ht="15" x14ac:dyDescent="0.2"/>
  </sheetData>
  <mergeCells count="23">
    <mergeCell ref="B34:E34"/>
    <mergeCell ref="B36:F36"/>
    <mergeCell ref="B44:D44"/>
    <mergeCell ref="A46:D46"/>
    <mergeCell ref="A48:F48"/>
    <mergeCell ref="B19:H19"/>
    <mergeCell ref="C20:G20"/>
    <mergeCell ref="C21:H21"/>
    <mergeCell ref="C25:D25"/>
    <mergeCell ref="C26:G26"/>
    <mergeCell ref="C27:H27"/>
    <mergeCell ref="B11:F11"/>
    <mergeCell ref="C12:D12"/>
    <mergeCell ref="C13:E13"/>
    <mergeCell ref="C14:F14"/>
    <mergeCell ref="C15:H15"/>
    <mergeCell ref="C16:D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26-1 Металл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2019-03-26T11:46:35Z</dcterms:created>
  <dcterms:modified xsi:type="dcterms:W3CDTF">2019-03-26T11:47:06Z</dcterms:modified>
</cp:coreProperties>
</file>