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390" tabRatio="691" firstSheet="29" activeTab="41"/>
  </bookViews>
  <sheets>
    <sheet name="мол4к1" sheetId="1" r:id="rId1"/>
    <sheet name="5к1" sheetId="2" r:id="rId2"/>
    <sheet name="Мол.11к2" sheetId="3" r:id="rId3"/>
    <sheet name="луг1" sheetId="4" r:id="rId4"/>
    <sheet name="луг1ж" sheetId="5" r:id="rId5"/>
    <sheet name="луг.19" sheetId="6" r:id="rId6"/>
    <sheet name="Луг3" sheetId="7" r:id="rId7"/>
    <sheet name="Станк.2к1" sheetId="8" r:id="rId8"/>
    <sheet name="Ст5,1" sheetId="9" r:id="rId9"/>
    <sheet name="СТ.6" sheetId="10" r:id="rId10"/>
    <sheet name="ст.8" sheetId="11" r:id="rId11"/>
    <sheet name="станк.14к1" sheetId="12" r:id="rId12"/>
    <sheet name="1Кр.16" sheetId="13" r:id="rId13"/>
    <sheet name="1кр.18а" sheetId="14" r:id="rId14"/>
    <sheet name="1кр.18б" sheetId="15" r:id="rId15"/>
    <sheet name="1кр.23" sheetId="16" r:id="rId16"/>
    <sheet name="28" sheetId="17" r:id="rId17"/>
    <sheet name="28к1" sheetId="18" r:id="rId18"/>
    <sheet name="28к2" sheetId="19" r:id="rId19"/>
    <sheet name="2Кр.13" sheetId="20" r:id="rId20"/>
    <sheet name="косм.7" sheetId="21" r:id="rId21"/>
    <sheet name="К.М.6" sheetId="22" r:id="rId22"/>
    <sheet name="бронная 22" sheetId="23" r:id="rId23"/>
    <sheet name="Окт.1" sheetId="24" r:id="rId24"/>
    <sheet name="окт.4" sheetId="25" r:id="rId25"/>
    <sheet name="окт.12,14" sheetId="26" r:id="rId26"/>
    <sheet name="окт.18" sheetId="27" r:id="rId27"/>
    <sheet name="Мол.21к1" sheetId="28" r:id="rId28"/>
    <sheet name="Мол21к2" sheetId="29" r:id="rId29"/>
    <sheet name="Старореченская 15к1" sheetId="30" r:id="rId30"/>
    <sheet name="15к3" sheetId="31" r:id="rId31"/>
    <sheet name="32а" sheetId="32" r:id="rId32"/>
    <sheet name="32б" sheetId="33" r:id="rId33"/>
    <sheet name="56" sheetId="34" r:id="rId34"/>
    <sheet name="2к1" sheetId="35" r:id="rId35"/>
    <sheet name="2к2" sheetId="36" r:id="rId36"/>
    <sheet name="энг6" sheetId="37" r:id="rId37"/>
    <sheet name="23,9" sheetId="38" r:id="rId38"/>
    <sheet name="маг.2" sheetId="39" r:id="rId39"/>
    <sheet name="маг.2к1" sheetId="40" r:id="rId40"/>
    <sheet name="маг.3" sheetId="41" r:id="rId41"/>
    <sheet name="маг.8" sheetId="42" r:id="rId42"/>
    <sheet name="н-прибоя 18" sheetId="43" r:id="rId43"/>
  </sheets>
  <definedNames/>
  <calcPr fullCalcOnLoad="1"/>
</workbook>
</file>

<file path=xl/sharedStrings.xml><?xml version="1.0" encoding="utf-8"?>
<sst xmlns="http://schemas.openxmlformats.org/spreadsheetml/2006/main" count="1968" uniqueCount="756">
  <si>
    <t>2.5.Аварийная служба 0,32*3216,3*12</t>
  </si>
  <si>
    <t>0,78*3216,3*12</t>
  </si>
  <si>
    <r>
      <t>5.Общеэксплуатационные расходы   2,04</t>
    </r>
    <r>
      <rPr>
        <sz val="9"/>
        <rFont val="Arial Cyr"/>
        <family val="0"/>
      </rPr>
      <t>*3216,3*12</t>
    </r>
  </si>
  <si>
    <t>1.2Приобретение спецодежды и инвентаря 0,025*3231,7*12</t>
  </si>
  <si>
    <t>1.3.Приобретение песко-соляной смеси 0,01*3231,7*12</t>
  </si>
  <si>
    <t>2.2 Захоронение  ТБО   270*м3*38,06</t>
  </si>
  <si>
    <t>2.3. Электроэнергия МОП  4500кВТ*2,89</t>
  </si>
  <si>
    <t>2.5.Аварийная служба 0,32*3231,7*12</t>
  </si>
  <si>
    <t>78кв.*147,0</t>
  </si>
  <si>
    <t>0,78*3231,7*12</t>
  </si>
  <si>
    <r>
      <t xml:space="preserve">5.Общеэксплуатационные расходы   </t>
    </r>
    <r>
      <rPr>
        <sz val="9"/>
        <rFont val="Arial Cyr"/>
        <family val="0"/>
      </rPr>
      <t xml:space="preserve">    2,04*2044,0*12</t>
    </r>
  </si>
  <si>
    <t>ул.Луговая  дом 19</t>
  </si>
  <si>
    <t>2.1.Сбор и вывоз ТБО 10чел.*1,5*101,01</t>
  </si>
  <si>
    <t>1.2Приобретение спецодежды и инвентаря 0,025*228,0*12</t>
  </si>
  <si>
    <t>2.2 Захоронение  ТБО     10чел.*1,5м3*38,06</t>
  </si>
  <si>
    <t>0,84*244,0*12</t>
  </si>
  <si>
    <t>1.4.Вывоз и утилизация крупногабаритного мусора  0,06*258,0*12</t>
  </si>
  <si>
    <t>0,145*244,0*12</t>
  </si>
  <si>
    <t>2.6.ТО вентканалов  и дымоходов  4шт*6,08+(4шт*18,06)</t>
  </si>
  <si>
    <t>а)Дворник   0,006*5800+30%+20,3%*12</t>
  </si>
  <si>
    <t>2.1.Сбор и вывоз ТБО  42чел.*1,5м3*101,01</t>
  </si>
  <si>
    <t>2.2 Захоронение  ТБО     42чел*1,5м3*38,06</t>
  </si>
  <si>
    <t>2.3. Электроэнергия МОП  2100кВТ*2,89</t>
  </si>
  <si>
    <t>2.5. Дератизация подвала  1,61*534,7</t>
  </si>
  <si>
    <t>2.5.Аварийная служба 0,32*1958,7*12</t>
  </si>
  <si>
    <t>2.6.ТО вентканалов   24шт*6,08+(24шт*18,06)*4</t>
  </si>
  <si>
    <t>0,78*1958,7*12</t>
  </si>
  <si>
    <t>2,04*1958,7*12</t>
  </si>
  <si>
    <t>а)Дворник   0,48*5800+75%+20,3%*12</t>
  </si>
  <si>
    <t>1.2Приобретение спецодежды и инвентаря 0,025*3033,4*12</t>
  </si>
  <si>
    <t>1.3.Приобретение песко-соляной смеси 0,01*3033,4*12</t>
  </si>
  <si>
    <t>1.4.Вывоз и утилизация крупногабаритного мусора   0,13*3033,4*12</t>
  </si>
  <si>
    <t>2.1.Сбор и вывоз ТБО   135чел.*1,5м3*90,3</t>
  </si>
  <si>
    <t>2.2 Захоронение  ТБО     135чел*1,5м3*38,06</t>
  </si>
  <si>
    <t>2.3. Электроэнергия МОП   3100кВТ*2,89</t>
  </si>
  <si>
    <t>2.5.Аварийная служба 0,32*3033,4*12</t>
  </si>
  <si>
    <t>0,78*3033,4*12</t>
  </si>
  <si>
    <t>2,04*3033,4*12</t>
  </si>
  <si>
    <t>а)Дворник   0,618*5800+75%+20,3%*12</t>
  </si>
  <si>
    <t>1.2Приобретение спецодежды и инвентаря 0,025*1666,9*12</t>
  </si>
  <si>
    <t>1.3.Приобретение песко-соляной смеси 0,01*1666,9*12</t>
  </si>
  <si>
    <t>1.4.Вывоз и утилизация крупногабаритного мусора   0,13*1666,9*12</t>
  </si>
  <si>
    <t>2.1.Сбор и вывоз ТБО  57чел.*1,5*101,01</t>
  </si>
  <si>
    <t>2.2 Захоронение  ТБО    57чел*1,5м3*38,06</t>
  </si>
  <si>
    <t>2.3. Электроэнергия МОП   2600кВТ*2,89</t>
  </si>
  <si>
    <t>2.5. Дератизация подвала  1,61*582,9</t>
  </si>
  <si>
    <t>2.5.Аварийная служба 0,32*1666,9*12</t>
  </si>
  <si>
    <t>2.6.ТО вентканалов  31шт*6,08+(31шт*18,06)*4</t>
  </si>
  <si>
    <t>0,78*1666,9*12</t>
  </si>
  <si>
    <t>2,04*1666,9*12</t>
  </si>
  <si>
    <t>2.3. Электроэнергия МОП   3750кВТ*2,89</t>
  </si>
  <si>
    <t>1.2Приобретение спецодежды и инвентаря 0,025*2476,1*12</t>
  </si>
  <si>
    <t>1.3.Приобретение песко-соляной смеси 0,01*2476,1*12</t>
  </si>
  <si>
    <t>а)Дворник   0,307*5800+75%+20,3%*12</t>
  </si>
  <si>
    <t>1.4.Вывоз и утилизация крупногабаритного мусора   0,13*2476,1*12</t>
  </si>
  <si>
    <t>2.1.Сбор и вывоз ТБО  76чел.*1,5м3*101,01</t>
  </si>
  <si>
    <t>2.5. Дератизация подвала  1,61*672,1</t>
  </si>
  <si>
    <t>2.5.Аварийная служба 0,32*2476,1*12</t>
  </si>
  <si>
    <t>2.6.ТО вентканалов   30шт*6,08</t>
  </si>
  <si>
    <t>0,78*2476,1*12</t>
  </si>
  <si>
    <r>
      <t xml:space="preserve">5.Общеэксплуатационные расходы   </t>
    </r>
    <r>
      <rPr>
        <sz val="9"/>
        <rFont val="Arial Cyr"/>
        <family val="0"/>
      </rPr>
      <t>2,04*2476,1*12</t>
    </r>
  </si>
  <si>
    <t>а)Дворник   0,363*5800+75%+20,3%*12</t>
  </si>
  <si>
    <t>1.2Приобретение спецодежды и инвентаря 0,025*2480,2*12</t>
  </si>
  <si>
    <t>1.3.Приобретение песко-соляной смеси 0,01*2480,2*12</t>
  </si>
  <si>
    <t>1.4.Вывоз и утилизация крупногабаритного мусора   0,13*2480,2*12</t>
  </si>
  <si>
    <t>2.1.Сбор и вывоз ТБО  82чел.*1,5м3*101,01</t>
  </si>
  <si>
    <t>2.2 Захоронение  ТБО     82чел.*1,5м3*38,06</t>
  </si>
  <si>
    <t>2.2 Захоронение  ТБО     76чел.*1,5м3*38,06</t>
  </si>
  <si>
    <t>2.3. Электроэнергия МОП   4600кВТ*2,89</t>
  </si>
  <si>
    <t>2.5.Аварийная служба 0,32*2480,2*12</t>
  </si>
  <si>
    <t>0,78*2480,2*12</t>
  </si>
  <si>
    <r>
      <t xml:space="preserve">5.Общеэксплуатационные расходы   </t>
    </r>
    <r>
      <rPr>
        <sz val="9"/>
        <rFont val="Arial Cyr"/>
        <family val="0"/>
      </rPr>
      <t>2,04*2480,2*12</t>
    </r>
  </si>
  <si>
    <t>а)Дворник   0,438*5800+75%+20,3%*12</t>
  </si>
  <si>
    <t>1.2Приобретение спецодежды и инвентаря 0,025*2864,5*12</t>
  </si>
  <si>
    <t>1.3.Приобретение песко-соляной смеси 0,01*2864,5*12</t>
  </si>
  <si>
    <t>1.4.Вывоз и утилизация крупногабаритного мусора   0,13*2864,5*12</t>
  </si>
  <si>
    <t>2.1.Сбор и вывоз ТБО   197чел.*1,5м3*101,01</t>
  </si>
  <si>
    <t>2.2 Захоронение  ТБО     197чел.*1,5м3*38,06</t>
  </si>
  <si>
    <t>2.3. Электроэнергия МОП   16500кВТ*2,89</t>
  </si>
  <si>
    <t>2.5. Дератизация подвала  1,61*489,4</t>
  </si>
  <si>
    <t>2.6.Аварийная служба 0,32*2864,5*12</t>
  </si>
  <si>
    <t>0,78*2864,5*12</t>
  </si>
  <si>
    <r>
      <t xml:space="preserve">5.Общеэксплуатационные расходы   </t>
    </r>
    <r>
      <rPr>
        <sz val="9"/>
        <rFont val="Arial Cyr"/>
        <family val="0"/>
      </rPr>
      <t>2,04*2864,5*12</t>
    </r>
  </si>
  <si>
    <t>9.Налог при УСН</t>
  </si>
  <si>
    <t>а)Дворник   0,385*5800+75%+20,3%*12</t>
  </si>
  <si>
    <t>1.2Приобретение спецодежды и инвентаря 0,025*3376,6*12</t>
  </si>
  <si>
    <t>1.3.Приобретение песко-соляной смеси 0,01*3376,6*12</t>
  </si>
  <si>
    <t>1.4.Вывоз и утилизация крупногабаритного мусора   0,13*3376,6*12</t>
  </si>
  <si>
    <t>2.1.Сбор и вывоз ТБО   170чел.*1,5м3*101,01</t>
  </si>
  <si>
    <t>2.2 Захоронение  ТБО     170чел.*1,5м3*38,06</t>
  </si>
  <si>
    <t>2.3. Электроэнергия МОП   6800кВТ*2,89</t>
  </si>
  <si>
    <t>2.5.Аварийная служба 0,32*3376,6*12</t>
  </si>
  <si>
    <t>а)Дворник   0,462*5800+75%+20,3%*12</t>
  </si>
  <si>
    <t>1.2Приобретение спецодежды и инвентаря 0,025*4551,9*12</t>
  </si>
  <si>
    <t>1.3.Приобретение песко-соляной смеси 0,01*4551,9*12</t>
  </si>
  <si>
    <t>1.4.Вывоз и утилизация крупногабаритного мусора   0,13*4551,9*12</t>
  </si>
  <si>
    <t>2.2 Захоронение  ТБО     226чел.*1,5м3*38,06</t>
  </si>
  <si>
    <t>2.1.Сбор и вывоз ТБО   226чел.*1,5м3*101,01</t>
  </si>
  <si>
    <t>2.3. Электроэнергия МОП   9500кВТ*2,89</t>
  </si>
  <si>
    <t>2.5. Дератизация подвала  1,61*1100кв.м.</t>
  </si>
  <si>
    <t>2.6.Аварийная служба 0,32*4551,9*12</t>
  </si>
  <si>
    <t>2.7.ТО вентканалов   100шт*6,08+(100шт*18,06)</t>
  </si>
  <si>
    <t>0,78*4551,9*12</t>
  </si>
  <si>
    <r>
      <t xml:space="preserve">5.Общеэксплуатационные расходы   </t>
    </r>
    <r>
      <rPr>
        <sz val="9"/>
        <rFont val="Arial Cyr"/>
        <family val="0"/>
      </rPr>
      <t>2,04*4551,9*12</t>
    </r>
  </si>
  <si>
    <t>2.6.ТО вентканалов   70шт*6,08+(70шт*18,06)*4</t>
  </si>
  <si>
    <t>0,78*3376,6*12</t>
  </si>
  <si>
    <r>
      <t xml:space="preserve">5.Общеэксплуатационные расходы   </t>
    </r>
    <r>
      <rPr>
        <sz val="9"/>
        <rFont val="Arial Cyr"/>
        <family val="0"/>
      </rPr>
      <t>2,04*3376,6*12</t>
    </r>
  </si>
  <si>
    <t>2.1.Сбор и вывоз ТБО   244чел.*1,5*101,01</t>
  </si>
  <si>
    <t>2.2 Захоронение  ТБО     244чел.*1,5м3*38,06</t>
  </si>
  <si>
    <t>2.3. Электроэнергия МОП   9800кВТ*2,89</t>
  </si>
  <si>
    <t>2.5. Дератизация подвала  1,61*1100</t>
  </si>
  <si>
    <t>а)Дворник   0,596*5800+75%+20,3%*12</t>
  </si>
  <si>
    <t>1.2Приобретение спецодежды и инвентаря 0,025*4606,9*12</t>
  </si>
  <si>
    <t>1.3.Приобретение песко-соляной смеси 0,01*4606,9*12</t>
  </si>
  <si>
    <t>1.4.Вывоз и утилизация крупногабаритного мусора   0,13*4606,9*12</t>
  </si>
  <si>
    <t>2.1.Сбор и вывоз ТБО   220чел.*1,5м3*101,01</t>
  </si>
  <si>
    <t>2.2 Захоронение  ТБО     220чел.*1,5м3*38,06</t>
  </si>
  <si>
    <t>2.3. Электроэнергия МОП   7800кВТ*2,89</t>
  </si>
  <si>
    <t>2.5. Дератизация подвала  1,61*1164кв.м.</t>
  </si>
  <si>
    <t>2.6.Аварийная служба 0,32*4606,9*12</t>
  </si>
  <si>
    <t>0,78*4602,2*12</t>
  </si>
  <si>
    <r>
      <t xml:space="preserve">5.Общеэксплуатационные расходы  </t>
    </r>
    <r>
      <rPr>
        <sz val="9"/>
        <rFont val="Arial Cyr"/>
        <family val="0"/>
      </rPr>
      <t>2,04*4602,2*12</t>
    </r>
  </si>
  <si>
    <t>а)Дворник   0,564*5800+75%+20,3%*12</t>
  </si>
  <si>
    <t>1.2Приобретение спецодежды и инвентаря 0,025*3616,4*12</t>
  </si>
  <si>
    <t>1.3.Приобретение песко-соляной смеси 0,01*3616,4*12</t>
  </si>
  <si>
    <t>1.4.Вывоз и утилизация крупногабаритного мусора   0,13*3616,4*12</t>
  </si>
  <si>
    <t>2.1.Сбор и вывоз ТБО   172чел.*1,5м3*101,01</t>
  </si>
  <si>
    <t>2.2 Захоронение  ТБО     172чел.*1,5м3м3*38,06</t>
  </si>
  <si>
    <t>2.3. Электроэнергия МОП   5700кВТ*2,89</t>
  </si>
  <si>
    <t>2.5. Дератизация подвала  1,61*1010,3</t>
  </si>
  <si>
    <t>2.6.ТО вентканалов   65шт*6,08</t>
  </si>
  <si>
    <t>0,78*3616,4*12</t>
  </si>
  <si>
    <r>
      <t xml:space="preserve">5.Общеэксплуатационные расходы  </t>
    </r>
    <r>
      <rPr>
        <sz val="9"/>
        <rFont val="Arial Cyr"/>
        <family val="0"/>
      </rPr>
      <t>2,04*3616,4*12</t>
    </r>
  </si>
  <si>
    <t>1.3.Приобретение песко-соляной смеси 0,01*9711,5*12</t>
  </si>
  <si>
    <t>2.1.Сбор и вывоз ТБО   454чел.*1,5м3*101,01</t>
  </si>
  <si>
    <t>2.2 Захоронение  ТБО     454чел.*1,5м3*38,06</t>
  </si>
  <si>
    <t>2.3. Электроэнергия МОП    27600кВТ*2,89</t>
  </si>
  <si>
    <t>2.5. Дератизация подвала  1,61*2885</t>
  </si>
  <si>
    <t>2.6.Аварийная служба 0,32*9711,5*12</t>
  </si>
  <si>
    <t>0,78*9711,5*12</t>
  </si>
  <si>
    <t>2,04*9711,5*12</t>
  </si>
  <si>
    <t>а)Дворник   0,196*5800+75%+20,3%*12</t>
  </si>
  <si>
    <t>1.2Приобретение спецодежды и инвентаря 0,025*1630,8*12</t>
  </si>
  <si>
    <t>1.3.Приобретение песко-соляной смеси 0,01*1630,8*12</t>
  </si>
  <si>
    <t>1.4.Вывоз и утилизация крупногабаритного мусора  0,13*1630,8*12</t>
  </si>
  <si>
    <t>2.1.Сбор и вывоз ТБО   60чел.*1,5м3*101,01</t>
  </si>
  <si>
    <t>2.2 Захоронение  ТБО     60чел.*1,5м3*38,06</t>
  </si>
  <si>
    <t>2.3. Электроэнергия МОП    9000кВТ*2,89</t>
  </si>
  <si>
    <t>2.5. Дератизация подвала  1,61*420,6</t>
  </si>
  <si>
    <t>2.6.Аварийная служба 0,32*1630,8*12</t>
  </si>
  <si>
    <t>2.7.ТО вентканалов  36шт*6,08</t>
  </si>
  <si>
    <t>0,78*1630,8*12</t>
  </si>
  <si>
    <t>2,04*1630,8*12</t>
  </si>
  <si>
    <t>а)Дворник   0,229*5800+75%+20,3%*12</t>
  </si>
  <si>
    <t>1.2Приобретение спецодежды и инвентаря 0,025*1606,1*12</t>
  </si>
  <si>
    <t>1.3.Приобретение песко-соляной смеси 0,01*1606,1*12</t>
  </si>
  <si>
    <t>1.4.Вывоз и утилизация крупногабаритного мусора  0,13*1606,1*12</t>
  </si>
  <si>
    <t>2.1.Сбор и вывоз ТБО   77чел.*1,5м3*101,01</t>
  </si>
  <si>
    <t>2.2 Захоронение  ТБО    77чел*1,5м3*38,06</t>
  </si>
  <si>
    <t>2.3. Электроэнергия МОП    3000кВТ*2,89</t>
  </si>
  <si>
    <t>2.5. Дератизация подвала  1,61*401,4</t>
  </si>
  <si>
    <t>2.6.Аварийная служба 0,32*1606,1*12</t>
  </si>
  <si>
    <t>0,78*1606,1*12</t>
  </si>
  <si>
    <t>2,04*1606,1*12</t>
  </si>
  <si>
    <t>а)Дворник   0,11*5800+75%+20,3%*12</t>
  </si>
  <si>
    <t>1.2Приобретение спецодежды и инвентаря 0,025*1107,8*12</t>
  </si>
  <si>
    <t>1.3.Приобретение песко-соляной смеси 0,01*1107,8*12</t>
  </si>
  <si>
    <t>1.4.Вывоз и утилизация крупногабаритного мусора  0,13*1107,8*12</t>
  </si>
  <si>
    <t>2.1.Сбор и вывоз ТБО   81чел.*1,5м3*101,01</t>
  </si>
  <si>
    <t>2.2 Захоронение  ТБО    81чел.*1,5м3*38,06</t>
  </si>
  <si>
    <t>2.3. Электроэнергия МОП    2550кВТ*2,89</t>
  </si>
  <si>
    <t>2.5. Дератизация подвала  1,61*437кв.м.</t>
  </si>
  <si>
    <t>2.6.Аварийная служба 0,32*1107,8*12</t>
  </si>
  <si>
    <t>2.7.ТО вентканалов 24шт*6,08+24*18,06</t>
  </si>
  <si>
    <t>0,78*1107,8*12</t>
  </si>
  <si>
    <t>2,04*1107,8*12</t>
  </si>
  <si>
    <t>а)Дворник   0,42*5800+75%+20,3%*12</t>
  </si>
  <si>
    <t>1.2Приобретение спецодежды и инвентаря 0,025*2715,6*12</t>
  </si>
  <si>
    <t>1.3.Приобретение песко-соляной смеси 0,01*2715,6*12</t>
  </si>
  <si>
    <t>1.4.Вывоз и утилизация крупногабаритного мусора   0,13*2715,6*12</t>
  </si>
  <si>
    <t>2.1.Сбор и вывоз ТБО   146чел.*1,5м3*101,01</t>
  </si>
  <si>
    <t>2.2 Захоронение  ТБО   146чел.*1,5м3*38,06</t>
  </si>
  <si>
    <t>2.3. Электроэнергия МОП   6300кВТ*2,89</t>
  </si>
  <si>
    <t>2.5.Аварийная служба 0,32*2715,6*12</t>
  </si>
  <si>
    <t>2.6.ТО вентканалов   80шт*6,08+(80шт*18,06)</t>
  </si>
  <si>
    <t>0,78*2715,6*12</t>
  </si>
  <si>
    <r>
      <t xml:space="preserve">6.Управленческие расходы                              </t>
    </r>
    <r>
      <rPr>
        <sz val="9"/>
        <rFont val="Arial Cyr"/>
        <family val="0"/>
      </rPr>
      <t>2,04*2715,6*12</t>
    </r>
  </si>
  <si>
    <t>0,003*2715,6*12</t>
  </si>
  <si>
    <t>а)Дворник   0,5*5800+75%+20,3%*12</t>
  </si>
  <si>
    <t>1.2Приобретение спецодежды и инвентаря 0,025*3579,9*12</t>
  </si>
  <si>
    <t>1.3.Приобретение песко-соляной смеси 0,01*3579,9*12</t>
  </si>
  <si>
    <t>1.4.Вывоз и утилизация крупногабаритного мусора   0,13*3579,9*12</t>
  </si>
  <si>
    <t>а)Дворник   0,205*5800+75%+20,3%*12</t>
  </si>
  <si>
    <t>1.2Приобретение спецодежды и инвентаря 0,025*2670,9*12</t>
  </si>
  <si>
    <t>1.3.Приобретение песко-соляной смеси 0,01*2670,9*12</t>
  </si>
  <si>
    <t>1.4.Вывоз и утилизация крупногабаритного мусора   0,13*2670,9*12</t>
  </si>
  <si>
    <t>2.1.Сбор и вывоз ТБО  142чел.*1,5м3*101,01</t>
  </si>
  <si>
    <t>2.2 Захоронение  ТБО    142чел*1,5м3*38,06</t>
  </si>
  <si>
    <t>2.3. Электроэнергия МОП    4700кВТ*2,89</t>
  </si>
  <si>
    <t>2.6.Аварийная служба 0,32*2670,9*12</t>
  </si>
  <si>
    <t>0,78*2670,9*12</t>
  </si>
  <si>
    <t>2,04*2670,9*12</t>
  </si>
  <si>
    <t>а)Дворник   0,237*5800+75%+20,3%*12</t>
  </si>
  <si>
    <t>1.2Приобретение спецодежды и инвентаря 0,025*1611,4*12</t>
  </si>
  <si>
    <t>1.3.Приобретение песко-соляной смеси 0,01*1611,4*12</t>
  </si>
  <si>
    <t>1.4.Вывоз и утилизация крупногабаритного мусора   0,13*1611,4*12</t>
  </si>
  <si>
    <t>2.1.Сбор и вывоз ТБО  84чел.*1,5м3*101,01</t>
  </si>
  <si>
    <t>2.2 Захоронение  ТБО     84чел.*1,5м3*38,06</t>
  </si>
  <si>
    <t>2.3. Электроэнергия МОП    2700кВТ*2,89</t>
  </si>
  <si>
    <t>2.6.Аварийная служба 0,32*1611,4*12</t>
  </si>
  <si>
    <t>2.7.ТО вентканалов  40шт*6,08+(40шт*18,06)*4</t>
  </si>
  <si>
    <t>0,78*1611,4*12</t>
  </si>
  <si>
    <t>2,04*1611,4*12</t>
  </si>
  <si>
    <t>а)Дворник   0,54*5800+75%+20,3%*12</t>
  </si>
  <si>
    <t>1.2Приобретение спецодежды и инвентаря 0,025*2644,0*12</t>
  </si>
  <si>
    <t>1.3.Приобретение песко-соляной смеси 0,01*2644,0*12</t>
  </si>
  <si>
    <t>1.4.Вывоз и утилизация крупногабаритного мусора   0,13*2644,0*12</t>
  </si>
  <si>
    <t>2.1.Сбор и вывоз ТБО   123чел.*1,5*101,01</t>
  </si>
  <si>
    <t>2.2 Захоронение  ТБО     123чел.*1,5м3*38,06</t>
  </si>
  <si>
    <t>2.3. Электроэнергия МОП    2900кВТ*2,89</t>
  </si>
  <si>
    <t>2.6.Аварийная служба 0,32*2644,0*12</t>
  </si>
  <si>
    <t>0,78*2644,0*12</t>
  </si>
  <si>
    <t>2,04*2644,0*12</t>
  </si>
  <si>
    <t>а)Дворник   0,29*5800+75%+20,2%*12</t>
  </si>
  <si>
    <t>2.1.Сбор и вывоз ТБО   104чел.*1,5*101,01</t>
  </si>
  <si>
    <t>2.2 Захоронение  ТБО     104чел.*1,5м3*38,06</t>
  </si>
  <si>
    <t>2.3. Электроэнергия МОП    3100кВТ*2,89</t>
  </si>
  <si>
    <t>2.5. Дератизация подвала  1,61*832,0</t>
  </si>
  <si>
    <t>0,78*2351,2*12</t>
  </si>
  <si>
    <t>1.4.Вывоз и утилизация крупногабаритного мусора   0,13*2351,2*12</t>
  </si>
  <si>
    <t>1.2Приобретение спецодежды и инвентаря 0,025*2351,2*12</t>
  </si>
  <si>
    <t>1.3.Приобретение песко-соляной смеси 0,01*2351,2*12</t>
  </si>
  <si>
    <t>2,04*2351,2*12</t>
  </si>
  <si>
    <t>а)Дворник   0,346*5800+75%+20,3%*12</t>
  </si>
  <si>
    <t>1.2Приобретение спецодежды и инвентаря 0,025*3186,2*12</t>
  </si>
  <si>
    <t>1.3.Приобретение песко-соляной смеси 0,01*3186,2*12</t>
  </si>
  <si>
    <t>1.4.Вывоз и утилизация крупногабаритного мусора  0,13*3186,2*12</t>
  </si>
  <si>
    <t>2.1.Сбор и вывоз ТБО  95чел.*1,5*101,01</t>
  </si>
  <si>
    <t>2.2 Захоронение  ТБО     95чел.*1,5м3*38,06</t>
  </si>
  <si>
    <t>2.3. Электроэнергия МОП    17100кВТ*2,89</t>
  </si>
  <si>
    <t>2.5. Дератизация подвала  1,61*1020кв.м.</t>
  </si>
  <si>
    <t>2.6.Аварийная служба 0,32*3186,2*12</t>
  </si>
  <si>
    <t>0,78*3186,2*12</t>
  </si>
  <si>
    <t>2,04*3186,2*12</t>
  </si>
  <si>
    <t>1.2Приобретение спецодежды и инвентаря 0,025*310,2*12</t>
  </si>
  <si>
    <t>1.3.Приобретение песко-соляной смеси 0,01*310,2*12</t>
  </si>
  <si>
    <t>1.4.Вывоз и утилизация крупногабаритного мусора  0,13*310,2*12</t>
  </si>
  <si>
    <t>2.1.Сбор и вывоз ТБО 9чел.*1,5м3*101,01</t>
  </si>
  <si>
    <t>2.2 Захоронение  ТБО     9чел.*1,5м3*38,06</t>
  </si>
  <si>
    <t>2.5.Аварийная служба 0,32*310,2*12</t>
  </si>
  <si>
    <t>0,78*310,2*12</t>
  </si>
  <si>
    <t>2,04*310,2*12</t>
  </si>
  <si>
    <t>ул.Магистральная ,дом 2</t>
  </si>
  <si>
    <t>782/3080=0,25</t>
  </si>
  <si>
    <t>0,368ед.</t>
  </si>
  <si>
    <t>3533/30000=0,118</t>
  </si>
  <si>
    <t>1.2Приобретение спецодежды и инвентаря 0,025*3223,3*12</t>
  </si>
  <si>
    <t>2.4.Дезинсекция контейнеров 0,002*3223,3*12</t>
  </si>
  <si>
    <t>0,003*3223,3*12</t>
  </si>
  <si>
    <t>ул.Магистральная ,дом 3</t>
  </si>
  <si>
    <t>531/3080=0,17</t>
  </si>
  <si>
    <t>0,1872ед.</t>
  </si>
  <si>
    <t>516/30000=0,0172</t>
  </si>
  <si>
    <t>ул.Магистральная ,дом 2к1</t>
  </si>
  <si>
    <t>955,2/3080=0,31</t>
  </si>
  <si>
    <t>0,397ед.</t>
  </si>
  <si>
    <t>2598,2/30000=0,087</t>
  </si>
  <si>
    <t>2.4.Дезинсекция контейнеров 0,002*2362,5*12</t>
  </si>
  <si>
    <t>0,003*2362,5*12</t>
  </si>
  <si>
    <t>2.4.Дезинсекция контейнеров 0,002*3286,1*12</t>
  </si>
  <si>
    <t>0,003*3286,1*12</t>
  </si>
  <si>
    <t>ул.Магистральная ,дом 8</t>
  </si>
  <si>
    <t>691/3080=0,22</t>
  </si>
  <si>
    <t>0,298ед.</t>
  </si>
  <si>
    <t>2356/30000=0,078</t>
  </si>
  <si>
    <t>2.4.Дезинсекция контейнеров 0,002*3216,3*12</t>
  </si>
  <si>
    <t>0,003*3216,3*12</t>
  </si>
  <si>
    <t>Директор   " ООО ЖЭУ-6"</t>
  </si>
  <si>
    <t>________________________Хабаров М.А.</t>
  </si>
  <si>
    <t>355,0/3080=0,115</t>
  </si>
  <si>
    <t>320,5/30000=0,01</t>
  </si>
  <si>
    <t>0,125ед.</t>
  </si>
  <si>
    <t>2.4.Дезинсекция контейнеров 0,002*628,1*12</t>
  </si>
  <si>
    <t xml:space="preserve">5.Общеэксплуатационные(управленческие)расходы                              </t>
  </si>
  <si>
    <t xml:space="preserve">6.Внеэксплуатационные расходы  </t>
  </si>
  <si>
    <t>0,003*682,1*12</t>
  </si>
  <si>
    <t>2.4.Дезинсекция,дизенсекция 0,002*3174,4*12</t>
  </si>
  <si>
    <t>2этажа,1подъезда</t>
  </si>
  <si>
    <t>ул.1-ая Красная, дом 23</t>
  </si>
  <si>
    <t>304/3080=0,1</t>
  </si>
  <si>
    <t>761/30000=0,025</t>
  </si>
  <si>
    <t>2.4.Дезинсекция,дизенсекция  0,002*288,5*12</t>
  </si>
  <si>
    <t>0,003*288,5*12</t>
  </si>
  <si>
    <t>Наименование статей</t>
  </si>
  <si>
    <t>1.Благоустройство и санитарная очистка домовладений</t>
  </si>
  <si>
    <t>2.Содержание домохозяйства</t>
  </si>
  <si>
    <t xml:space="preserve"> </t>
  </si>
  <si>
    <t>руб.</t>
  </si>
  <si>
    <t>Газон</t>
  </si>
  <si>
    <t>Площадь,м2</t>
  </si>
  <si>
    <t>Дома</t>
  </si>
  <si>
    <t>Лестничных клеток</t>
  </si>
  <si>
    <t>Асф. дворовый</t>
  </si>
  <si>
    <t>Асф.ульчный</t>
  </si>
  <si>
    <t>Дворник</t>
  </si>
  <si>
    <t>1.1.Зарплата дворника</t>
  </si>
  <si>
    <t>Всего:расходов</t>
  </si>
  <si>
    <t>Тариф на содержание жилья для населения составляет:</t>
  </si>
  <si>
    <t>2.7. ТО ВДГО</t>
  </si>
  <si>
    <t xml:space="preserve">Управленческие расходы </t>
  </si>
  <si>
    <t>УТВЕРЖДАЮ</t>
  </si>
  <si>
    <t>3.Текущий ремонт</t>
  </si>
  <si>
    <t xml:space="preserve">4.Прочие  расходы </t>
  </si>
  <si>
    <t xml:space="preserve">5.Общеэксплуатационные расходы </t>
  </si>
  <si>
    <t xml:space="preserve">7.Внеэксплуатационные расходы  </t>
  </si>
  <si>
    <t>8.Себестоимость  оказанных  услуг</t>
  </si>
  <si>
    <t>Всего: расходов</t>
  </si>
  <si>
    <t>0,48ед.</t>
  </si>
  <si>
    <t>831,7/3080=0,27</t>
  </si>
  <si>
    <t>375/2500=0,15</t>
  </si>
  <si>
    <t>2278,2/30000=0,06</t>
  </si>
  <si>
    <t>Смета доходов и расходов на 2011год</t>
  </si>
  <si>
    <t>2.4.Дезинсекция контейнеров 0,002*3033,4*12</t>
  </si>
  <si>
    <t>0,003*3033,4*12</t>
  </si>
  <si>
    <t xml:space="preserve">4.Общецеховые  расходы </t>
  </si>
  <si>
    <t xml:space="preserve">                   от всех расходов</t>
  </si>
  <si>
    <t>2.4.Дезинсекция контейнеров 0,002*2661,0*12</t>
  </si>
  <si>
    <t>нет</t>
  </si>
  <si>
    <t>2.8. ТО ВДГО</t>
  </si>
  <si>
    <t xml:space="preserve">6.Общеэксплуатационные(управленческие)расходы                              </t>
  </si>
  <si>
    <t>ул.Станкозаводская, дом 8</t>
  </si>
  <si>
    <t>763,9/3080=0,25</t>
  </si>
  <si>
    <t>1123,3/30000=0,04</t>
  </si>
  <si>
    <t>0,29ед.</t>
  </si>
  <si>
    <t>2.6.Аварийная служба 0,29*2351,2,*12</t>
  </si>
  <si>
    <t>0,003*2351,2*12</t>
  </si>
  <si>
    <t>0,003*3174,4*12</t>
  </si>
  <si>
    <t>1079,6/3080=0,35</t>
  </si>
  <si>
    <t>3603,4/30000=0,12</t>
  </si>
  <si>
    <t>0,47ед.</t>
  </si>
  <si>
    <t>ул.Молодцова , дом 11корп.2</t>
  </si>
  <si>
    <t>Директор    " ООО ЖЭУ-6"</t>
  </si>
  <si>
    <t>11,5%</t>
  </si>
  <si>
    <t>Уполномоченный представитель собственников</t>
  </si>
  <si>
    <t>СОГЛАСОВАННО:</t>
  </si>
  <si>
    <t>ул.Луговая,дом 3</t>
  </si>
  <si>
    <t>822,4/3080=0,27</t>
  </si>
  <si>
    <t>1428,8/30000=0,05</t>
  </si>
  <si>
    <t>0,32ед.</t>
  </si>
  <si>
    <t>2.4.Дезинсекция контейнеров 0,002*3373,2*12</t>
  </si>
  <si>
    <t>0,003*3373,2*12</t>
  </si>
  <si>
    <t>ул.Карла Маркса,дом 6</t>
  </si>
  <si>
    <t>1219,0/3080=0,40</t>
  </si>
  <si>
    <t>2756,4/30000=0,1</t>
  </si>
  <si>
    <t>0,5ед.</t>
  </si>
  <si>
    <t>2.4.Дезинсекция контейнеров 0,002*3579,9*12</t>
  </si>
  <si>
    <t>0,003*3579,9*12</t>
  </si>
  <si>
    <t xml:space="preserve">5.Общеэксплуатационные расходы              </t>
  </si>
  <si>
    <t>400/3080=0,13</t>
  </si>
  <si>
    <t>1500/30000=0,05</t>
  </si>
  <si>
    <t>2.4.Дезинсекция контейнеров 0,002*2044,0*12</t>
  </si>
  <si>
    <t>0,003*2044,0*12</t>
  </si>
  <si>
    <t>ул.Космонавтов ,дом 7</t>
  </si>
  <si>
    <t>981,1/3080=0,32</t>
  </si>
  <si>
    <t>2943,7/30000=0,1</t>
  </si>
  <si>
    <t>0,42ед.</t>
  </si>
  <si>
    <t>2.4.Дезинсекция контейнеров 0,002*2715,6*12</t>
  </si>
  <si>
    <t>7.Себестоимость  оказанных  услуг</t>
  </si>
  <si>
    <t>ул.Бронная ,дом 22</t>
  </si>
  <si>
    <t>0,18ед.</t>
  </si>
  <si>
    <t>1067,3/3080=0,347</t>
  </si>
  <si>
    <t>2723,2/30000=0,09</t>
  </si>
  <si>
    <t>0,438ед.</t>
  </si>
  <si>
    <t>2.4.Дезинсекция контейнеров 0,002*2864,5*12</t>
  </si>
  <si>
    <t>0,003*2864,5*12</t>
  </si>
  <si>
    <t>ул.Старореченкая,дом 15корп.1</t>
  </si>
  <si>
    <t>3подъезда,5этажей</t>
  </si>
  <si>
    <t>ул.Старореченкая,дом 32А</t>
  </si>
  <si>
    <t>1131,0/3080=0,367</t>
  </si>
  <si>
    <t>2840,0/30000=0,095</t>
  </si>
  <si>
    <t>0,462ед.</t>
  </si>
  <si>
    <t>ул.Старореченкая,дом 32Б</t>
  </si>
  <si>
    <t>6подъезда,5этажей</t>
  </si>
  <si>
    <t>2.4.Дезинсекция контейнеров 0,002*4551,9*12</t>
  </si>
  <si>
    <t>0,003*4551,9*12</t>
  </si>
  <si>
    <t>9.Плановые накопления</t>
  </si>
  <si>
    <t>ул.Новикова -Прибоя ,дом 18</t>
  </si>
  <si>
    <t xml:space="preserve">а)Дворник  </t>
  </si>
  <si>
    <t>2.1.Сбор и вывоз ТБО   270*101,01</t>
  </si>
  <si>
    <t>2.4.Дезинсекция контейнеров 0,002*3231,7*12</t>
  </si>
  <si>
    <t>2.6.ТО вентканалов   78шт*5,44+(78шт*16,17)*4</t>
  </si>
  <si>
    <t>ЖСК "Весенний"</t>
  </si>
  <si>
    <t>ул.Старореченкая,дом 56</t>
  </si>
  <si>
    <t>1660,0/3080=0,539</t>
  </si>
  <si>
    <t>0,596ед.</t>
  </si>
  <si>
    <t>1720/30000=0,057</t>
  </si>
  <si>
    <t>2.4.Дезинсекция контейнеров 0,002*4606,9*12</t>
  </si>
  <si>
    <t>0,003*4602,2*12</t>
  </si>
  <si>
    <t>8.Плановые накопления</t>
  </si>
  <si>
    <t>ул.Молодежная,дом 21к2</t>
  </si>
  <si>
    <t>729,0/3080=0,299</t>
  </si>
  <si>
    <t>0,363ед.</t>
  </si>
  <si>
    <t>1929/30000=0,064</t>
  </si>
  <si>
    <t>2.4.Дезинсекция контейнеров 0,002*2480,2*12</t>
  </si>
  <si>
    <t>0,003*2480,2*12</t>
  </si>
  <si>
    <t>_____________________Хабаров М.А.</t>
  </si>
  <si>
    <t>б)уборщица</t>
  </si>
  <si>
    <t>на 1кв.м.</t>
  </si>
  <si>
    <t>Директор ООО ЖЭУ-6</t>
  </si>
  <si>
    <t>ул.1-ая Красная, дом 16</t>
  </si>
  <si>
    <t>1.1.Зарплата дворника(уборка контейнерной площадки)</t>
  </si>
  <si>
    <t>2.4.Дезинсекция,дизенсекция  0,002*310,2*12</t>
  </si>
  <si>
    <t>0,003*310,2*12</t>
  </si>
  <si>
    <t>ул.1-ая Краснкая, дом 18А</t>
  </si>
  <si>
    <t>443,53080=0,144</t>
  </si>
  <si>
    <t>0,156ед.</t>
  </si>
  <si>
    <t>362,5/30000=0,012</t>
  </si>
  <si>
    <t>2.4.Дезинсекция контейнеров 0,002*636,6*12</t>
  </si>
  <si>
    <t>6кв-*120</t>
  </si>
  <si>
    <t>ул.Старореченкая,дом 15к3</t>
  </si>
  <si>
    <t>923,0/3080=0,3</t>
  </si>
  <si>
    <t>0,385ед.</t>
  </si>
  <si>
    <t>2545,0/30000=0,085</t>
  </si>
  <si>
    <t>2.4.Дезинсекция контейнеров 0,002*3376,6*12</t>
  </si>
  <si>
    <t>0,003*3376,6*12</t>
  </si>
  <si>
    <t>улСтарореченская,дом 2к1</t>
  </si>
  <si>
    <t>1535,5/3080=0,499</t>
  </si>
  <si>
    <t>0,564ед.</t>
  </si>
  <si>
    <t>1939/30000=0,065</t>
  </si>
  <si>
    <t>2.4.Дезинсекция контейнеров 0,002*3616,4*12</t>
  </si>
  <si>
    <t>0,003*3616,4*12</t>
  </si>
  <si>
    <t>ул.Старореченкая,дом 2к2</t>
  </si>
  <si>
    <t>1012,1/3080=0,329</t>
  </si>
  <si>
    <t>0,539ед.</t>
  </si>
  <si>
    <t>6301/30000=0,21</t>
  </si>
  <si>
    <t>2.4.Дезинсекция контейнеров 0,002*4881,3*12</t>
  </si>
  <si>
    <t>2.5.Аварийная служба 0,29*4881,3*12</t>
  </si>
  <si>
    <t>0,003*4881,3*12</t>
  </si>
  <si>
    <t>ул.Энгельса ,дом 6</t>
  </si>
  <si>
    <t>619,0/3080=0,2</t>
  </si>
  <si>
    <t>0,336ед.</t>
  </si>
  <si>
    <t>4082,9/30000=0,136</t>
  </si>
  <si>
    <t>2.4.Дезинсекция контейнеров 0,002*3229,7*12</t>
  </si>
  <si>
    <t>0,003*3229,7*12</t>
  </si>
  <si>
    <t>ул.Энгельса ,дом 23/9</t>
  </si>
  <si>
    <t>761,9/3080=0,247</t>
  </si>
  <si>
    <t>0,283ед.</t>
  </si>
  <si>
    <t>1094/30000=0,036</t>
  </si>
  <si>
    <t>2.4.Дезинсекция контейнеров 0,002*1994,7*12</t>
  </si>
  <si>
    <t>0,003*1994,7*12</t>
  </si>
  <si>
    <t>2.6.ТО вентканалов   27шт*5,44+(27шт*16,17)*4</t>
  </si>
  <si>
    <t>ул.1-ая Красная, дом 28к1</t>
  </si>
  <si>
    <t>492,0/3080=0,16</t>
  </si>
  <si>
    <t>0,196ед.</t>
  </si>
  <si>
    <t>1093,0/30000=0,036</t>
  </si>
  <si>
    <t>2.4.Дезинсекция,дизенсекция 0,002*1630,8*12</t>
  </si>
  <si>
    <t>0,003*1630,8*12</t>
  </si>
  <si>
    <t>ул.1-ая Красная, дом 28к2</t>
  </si>
  <si>
    <t>650,0/3080=0,21</t>
  </si>
  <si>
    <t>0,229ед.</t>
  </si>
  <si>
    <t>570/30000=0,019</t>
  </si>
  <si>
    <t>2.4.Дезинсекция,дизенсекция 0,002*1606,1*12</t>
  </si>
  <si>
    <t>0,003*1606,1*12</t>
  </si>
  <si>
    <t>ул.1-ая Красная, дом 28</t>
  </si>
  <si>
    <t>1600,0/3080=0,52</t>
  </si>
  <si>
    <t>0,64ед.</t>
  </si>
  <si>
    <t>1.4.Вывоз и утилизация крупногабаритного мусора  0,09*9711,5*12</t>
  </si>
  <si>
    <t>2.4.Дезинсекция,дизенсекция 0,002*9711,5*12</t>
  </si>
  <si>
    <t>2.7.ТО вентканалов  179шт*5,44</t>
  </si>
  <si>
    <t>0,003*9711,5*12</t>
  </si>
  <si>
    <t>ул.2-ая Красная, дом 13</t>
  </si>
  <si>
    <t>245,73080=0,08</t>
  </si>
  <si>
    <t>0,11ед.</t>
  </si>
  <si>
    <t>926,8/30000=0,03</t>
  </si>
  <si>
    <t>2.4.Дезинсекция,дизенсекция 0,002*1107,81*12</t>
  </si>
  <si>
    <t>0,003*1107,8*12</t>
  </si>
  <si>
    <t>ул.Луговая,дом 1</t>
  </si>
  <si>
    <t>890/3080=0,29</t>
  </si>
  <si>
    <t>0,375ед.</t>
  </si>
  <si>
    <t>2548,5/30000=0,085</t>
  </si>
  <si>
    <t>2.4.Дезинсекция контейнеров 0,002*3397,2*12</t>
  </si>
  <si>
    <t>0,003*3397,2*12</t>
  </si>
  <si>
    <t>ул.Луговая  дом 1ж</t>
  </si>
  <si>
    <t>2.4.Дезинсекция,дизенсекция  0,002*244,0*12</t>
  </si>
  <si>
    <t>0,003*244,0*12</t>
  </si>
  <si>
    <t>ул.Станкозаводская, дом 6</t>
  </si>
  <si>
    <t>1533,7/3080=0,498</t>
  </si>
  <si>
    <t>0,54ед.</t>
  </si>
  <si>
    <t>1186,1/30000=0,04</t>
  </si>
  <si>
    <t>2.4.Дезинсекция контейнеров 0,002*2611,0*12</t>
  </si>
  <si>
    <t xml:space="preserve">6.Общеэксплуатационные  расходы                              </t>
  </si>
  <si>
    <t>0,003*2644,0*12</t>
  </si>
  <si>
    <t>ул.Станкозаводская, дом 5/1</t>
  </si>
  <si>
    <t>607,7/3080=0,197</t>
  </si>
  <si>
    <t>0,237ед.</t>
  </si>
  <si>
    <t>1066,6/30000=0,04</t>
  </si>
  <si>
    <t>2.4.Дезинсекция контейнеров 0,002*1611,40*12</t>
  </si>
  <si>
    <t>0,003*1611,4*12</t>
  </si>
  <si>
    <t>ул.Станкозаводская, дом 2к1</t>
  </si>
  <si>
    <t>433,0/3080=0,14</t>
  </si>
  <si>
    <t>0,205ед.</t>
  </si>
  <si>
    <t>1950,0/30000=0,065</t>
  </si>
  <si>
    <t>2.4.Дезинсекция контейнеров 0,002*2670,9*12</t>
  </si>
  <si>
    <t>0,003*2670,9*12</t>
  </si>
  <si>
    <t>ул.Станкозаводская , дом 14корп.1</t>
  </si>
  <si>
    <t>1044,0/3080=0,339</t>
  </si>
  <si>
    <t>0,346ед.</t>
  </si>
  <si>
    <t>2004/30000=0,0067</t>
  </si>
  <si>
    <t>2.4.Дезинсекция,дизенсекция 0,002*3186,2*12</t>
  </si>
  <si>
    <t>0,003*3186,2*12</t>
  </si>
  <si>
    <t>ул.Октябрьская ,дом 1</t>
  </si>
  <si>
    <t>566,5/3080=0,18</t>
  </si>
  <si>
    <t>0,21ед.</t>
  </si>
  <si>
    <t>863,9/30000=0,03</t>
  </si>
  <si>
    <t>2.4.Дезинсекция контейнеров 0,002*2050,9*12</t>
  </si>
  <si>
    <t xml:space="preserve">6.Общеэксплуатационные расходы                              </t>
  </si>
  <si>
    <t>0,003*2050,9*12</t>
  </si>
  <si>
    <t>2.6.ТО вентканалов   24шт*5,44+(24шт*16,17)*4</t>
  </si>
  <si>
    <t>ул.Октябрьская ,дом 4</t>
  </si>
  <si>
    <t>834,6/3080=0,27</t>
  </si>
  <si>
    <t>0,43ед.</t>
  </si>
  <si>
    <t>325/2500=0,13</t>
  </si>
  <si>
    <t>1025/30000=0,03</t>
  </si>
  <si>
    <t>2.4.Дезинсекция контейнеров 0,002*1958,7*12</t>
  </si>
  <si>
    <t>0,003*1958,7*12</t>
  </si>
  <si>
    <t>1250,0/3080=0,4</t>
  </si>
  <si>
    <t>0,618ед.</t>
  </si>
  <si>
    <t>470/2500=0,188</t>
  </si>
  <si>
    <t>2.4.Дезинсекция контейнеров 0,002*1666,9*12</t>
  </si>
  <si>
    <t>0,003*1666,9*12</t>
  </si>
  <si>
    <t>ул.Октябрьская ,дом 12/14</t>
  </si>
  <si>
    <t>ул.Молодежная,дом 21к1</t>
  </si>
  <si>
    <t>729,0/3080=0,237</t>
  </si>
  <si>
    <t>0,307ед.</t>
  </si>
  <si>
    <t>2120/30000=0,07</t>
  </si>
  <si>
    <t>2.4.Дезинсекция контейнеров 0,002*2476,1*12</t>
  </si>
  <si>
    <t>0,003*2476,1*12</t>
  </si>
  <si>
    <t>ул.Молодцова , дом 4 корп.1</t>
  </si>
  <si>
    <t>1330/3080=0,43</t>
  </si>
  <si>
    <t>0,485ед.</t>
  </si>
  <si>
    <t>1658,0/30000=0,055</t>
  </si>
  <si>
    <t>ул.Молодцова , дом 5корп.1</t>
  </si>
  <si>
    <t>345,0/3080=0,112</t>
  </si>
  <si>
    <t>0,241ед.</t>
  </si>
  <si>
    <t>3870,0/30000=0,129</t>
  </si>
  <si>
    <t>2.4.Дезинсекция контейнеров 0,002*2571,2*12</t>
  </si>
  <si>
    <t>0,003*2571,2*12</t>
  </si>
  <si>
    <t>Смета доходов и расходов на 2013год</t>
  </si>
  <si>
    <t>а)Дворник   0,485*5800+75%+20,3%*12</t>
  </si>
  <si>
    <t>1.2Приобретение спецодежды и инвентаря 0,025*2561,7*12</t>
  </si>
  <si>
    <t>1.3.Приобретение песко-соляной смеси 0,01*2561,7*12</t>
  </si>
  <si>
    <t>1.4.Вывоз и утилизация крупногабаритного мусора   0,13*2561,7*12</t>
  </si>
  <si>
    <t>2.1.Сбор и вывоз ТБО  118чел.*1,5м3*101,01</t>
  </si>
  <si>
    <t>2.2 Захоронение  ТБО    118чел.*1,5м3*38,06</t>
  </si>
  <si>
    <t>2.3. Электроэнергия МОП    4800кВТ*2,89</t>
  </si>
  <si>
    <t>2.4.Дезинсекция контейнеров 0,002*2561,7*12</t>
  </si>
  <si>
    <t>2.6.Аварийная служба 0,32*2561,7*12</t>
  </si>
  <si>
    <t>2.7.ТО вентканалов  60шт*6,08+(60шт*18,06)*4</t>
  </si>
  <si>
    <t>0,78*2561,7*12</t>
  </si>
  <si>
    <t>2,04*2561,7*12</t>
  </si>
  <si>
    <t>0,003*2561,7*12</t>
  </si>
  <si>
    <t>10.Налог при УСН</t>
  </si>
  <si>
    <t>а)Дворник   0,241*5800+75%+20,3%*12</t>
  </si>
  <si>
    <t>1.2Приобретение спецодежды и инвентаря 0,025*2571,2*12</t>
  </si>
  <si>
    <t>1.3.Приобретение песко-соляной смеси 0,01*2571,2*12</t>
  </si>
  <si>
    <t>1.4.Вывоз и утилизация крупногабаритного мусора   0,13*2571,2*12</t>
  </si>
  <si>
    <t>2.1.Сбор и вывоз ТБО 151чел.*1,5м3*101,01</t>
  </si>
  <si>
    <t>2.2 Захоронение  ТБО   151чел.*1,5м3*38,06</t>
  </si>
  <si>
    <t>2.3. Электроэнергия МОП    5700кВТ*2,89</t>
  </si>
  <si>
    <t>2.6.Аварийная служба 0,32*2571,2*12</t>
  </si>
  <si>
    <t>2.7.ТО вентканалов  64шт*6,08+(64шт*18,06)*4</t>
  </si>
  <si>
    <t>0,78*2571,2*12</t>
  </si>
  <si>
    <t>2,04*2571,2*12</t>
  </si>
  <si>
    <t>а)Дворник   0,47*5800+75%+20,3%*12</t>
  </si>
  <si>
    <t>1.2Приобретение спецодежды и инвентаря 0,025*3174,4*12</t>
  </si>
  <si>
    <t>1.3.Приобретение песко-соляной смеси 0,01*3174,4*12</t>
  </si>
  <si>
    <t>1.4.Вывоз и утилизация крупногабаритного мусора  0,13*3174,4*12</t>
  </si>
  <si>
    <t>2.1.Сбор и вывоз ТБО   152чел.*1,5м3*101,01</t>
  </si>
  <si>
    <t>2.2 Захоронение  ТБО   152чел.*1,5м3*38,06</t>
  </si>
  <si>
    <t>2.3. Электроэнергия МОП    15500кВТ*2,89</t>
  </si>
  <si>
    <t>2.6.Аварийная служба 0,32*3174,4*12</t>
  </si>
  <si>
    <t>2.7.ТО вентканалов  60шт*6,08</t>
  </si>
  <si>
    <t>0,78*3174,4*12</t>
  </si>
  <si>
    <t>2,04*3174,4*12</t>
  </si>
  <si>
    <t>а)Дворник   0,375*5800+75%+20,3%*12</t>
  </si>
  <si>
    <t>1.2Приобретение спецодежды и инвентаря 0,025*3397,2*12</t>
  </si>
  <si>
    <t>1.3.Приобретение песко-соляной смеси 0,01*3397,2*12</t>
  </si>
  <si>
    <t>1.4.Вывоз и утилизация крупногабаритного мусора  0,13*3397,2*12</t>
  </si>
  <si>
    <t>2.1.Сбор и вывоз ТБО   167чел.*1,5м3*101,01</t>
  </si>
  <si>
    <t>2.2 Захоронение  ТБО     167чел*1,5м3*38,06</t>
  </si>
  <si>
    <t>2.3. Электроэнергия МОП   6600кВТ*2,02</t>
  </si>
  <si>
    <t>2.5.Аварийная служба 0,32*3397,2*12</t>
  </si>
  <si>
    <t>2.6.ТО вентканалов  и дымоходов  70шт*6,08+(70шт*18,06*4)</t>
  </si>
  <si>
    <t>0,78*3397,2*12</t>
  </si>
  <si>
    <t>2,04*3397,2*12</t>
  </si>
  <si>
    <t>а)Дворник   0,006*5800+75%+20,3%*12</t>
  </si>
  <si>
    <t>1.2Приобретение спецодежды и инвентаря 0,025*244,0*12</t>
  </si>
  <si>
    <t>1.3.Приобретение песко-соляной смеси 0,01*244,0*12</t>
  </si>
  <si>
    <t>1.4.Вывоз и утилизация крупногабаритного мусора  0,13*244,0*12</t>
  </si>
  <si>
    <t>0,78*244,0*12</t>
  </si>
  <si>
    <t>2.1.Сбор и вывоз ТБО 14чел.*1,5*101,01</t>
  </si>
  <si>
    <t>2.2 Захоронение  ТБО     14чел.*1,5м3*38,06</t>
  </si>
  <si>
    <t>2.5.Аварийная служба 0,32*244,0*12</t>
  </si>
  <si>
    <t>2.6.ТО вентканалов  и дымоходов  6шт*6,08+(6шт*18,06)</t>
  </si>
  <si>
    <t>2.6.ТО вентканалов  и дымоходов  6шт*6,08+(6шт*18,06)*2</t>
  </si>
  <si>
    <t>2,04*244,0*12</t>
  </si>
  <si>
    <t>а)Дворник   0,32*5800+75%+20,3%*12</t>
  </si>
  <si>
    <t>1.2Приобретение спецодежды и инвентаря 0,025*3373,2*12</t>
  </si>
  <si>
    <t>1.3.Приобретение песко-соляной смеси 0,01*3373,2*12</t>
  </si>
  <si>
    <t>1.4.Вывоз и утилизация крупногабаритного мусора  0,13*3373,2*12</t>
  </si>
  <si>
    <t>2.1.Сбор и вывоз ТБО   152чел.*1,5*101,01</t>
  </si>
  <si>
    <t>2.2 Захоронение  ТБО     152чел.*1,5*38,06</t>
  </si>
  <si>
    <t>2.3. Электроэнергия МОП   7250кВТ*2,02</t>
  </si>
  <si>
    <t>2.5.Аварийная служба 0,32*3373,2*12</t>
  </si>
  <si>
    <t>0,78*3373,2*12</t>
  </si>
  <si>
    <t>2,04*3373,2*12</t>
  </si>
  <si>
    <t>а)Дворник   0,156*5800+75%+20,3%*12</t>
  </si>
  <si>
    <t>1.2Приобретение спецодежды и инвентаря 0,025*636,6*12</t>
  </si>
  <si>
    <t>1.3.Приобретение песко-соляной смеси 0,01*636,6*12</t>
  </si>
  <si>
    <t>1.4.Вывоз и утилизация крупногабаритного мусора   0,13*636,6*12</t>
  </si>
  <si>
    <t>2.1.Сбор и вывоз ТБО   23чел.*1,5м3*101,01</t>
  </si>
  <si>
    <t>2.2 Захоронение  ТБО     23чел.*1,5м3*38,06</t>
  </si>
  <si>
    <t>2.3. Электроэнергия МОП    800кВТ*2,89</t>
  </si>
  <si>
    <t>2.5. Дератизация подвала  1,61*151,9</t>
  </si>
  <si>
    <t>2.6.Аварийная служба 0,32*636,6*12</t>
  </si>
  <si>
    <t>2.7.ТО вентканалов  16шт*6,08+(16шт*18,06*4)</t>
  </si>
  <si>
    <t>0,78*636,6*12</t>
  </si>
  <si>
    <t>2,04*636,6*12</t>
  </si>
  <si>
    <t>а)Дворник   0,125*5800+75%+20,3%*12</t>
  </si>
  <si>
    <t>1.2Приобретение спецодежды и инвентаря 0,025*628,1*12</t>
  </si>
  <si>
    <t>1.3.Приобретение песко-соляной смеси 0,01*628,1*12</t>
  </si>
  <si>
    <t>1.4.Вывоз и утилизация крупногабаритного мусора   0,13*628,1*12</t>
  </si>
  <si>
    <t>2.2 Захоронение  ТБО     34чел.*1,5м3*38,06</t>
  </si>
  <si>
    <t>2.1.Сбор и вывоз ТБО   34чел.*1,5м3*101,01</t>
  </si>
  <si>
    <t>2.3. Электроэнергия МОП    1750кВТ*2,89</t>
  </si>
  <si>
    <t>2.5. Дератизация подвала  1,61*436,3кв.м.</t>
  </si>
  <si>
    <t>2.6.Аварийная служба 0,32*628,1*12</t>
  </si>
  <si>
    <t>0,78*628,1*12</t>
  </si>
  <si>
    <t>2,04*628,1*12</t>
  </si>
  <si>
    <t>ул.1-ая Красная, дом 18Б</t>
  </si>
  <si>
    <t>1.2Приобретение спецодежды и инвентаря 0,025*288,5*12</t>
  </si>
  <si>
    <t>1.3.Приобретение песко-соляной смеси 0,01*288,5*12</t>
  </si>
  <si>
    <t>1.4.Вывоз и утилизация крупногабаритного мусора  0,13*288,5*12</t>
  </si>
  <si>
    <t>2.2 Захоронение  ТБО    9чел.*1,5м3*38,06</t>
  </si>
  <si>
    <t>2.3. Электроэнергия МОП  900кВТ*2,89</t>
  </si>
  <si>
    <t>2.5.Аварийная служба 0,32*288,5*12</t>
  </si>
  <si>
    <t>2.6.ТО вентканалов  и дымоходов  8шт*6,08+(8шт*18,06)*4</t>
  </si>
  <si>
    <t>0,78*288,5*12</t>
  </si>
  <si>
    <t>2,04*288,5*12</t>
  </si>
  <si>
    <t>а)Дворник   0,64*5800+75%+20,3%*12</t>
  </si>
  <si>
    <t>1.2Приобретение спецодежды и инвентаря 0,025*9711,5*12</t>
  </si>
  <si>
    <t>2.1.Сбор и вывоз ТБО   168чел.*1,5м3*101,01</t>
  </si>
  <si>
    <t>2.2 Захоронение  ТБО   168чел.*1,5м3*38,06</t>
  </si>
  <si>
    <t>2.3. Электроэнергия МОП   3500кВТ*2,89</t>
  </si>
  <si>
    <t>2.5.Аварийная служба 0,32*3579,9*12</t>
  </si>
  <si>
    <t>0,78*3579,9*12</t>
  </si>
  <si>
    <r>
      <t xml:space="preserve">6.Управленческие расходы                       </t>
    </r>
    <r>
      <rPr>
        <sz val="9"/>
        <rFont val="Arial Cyr"/>
        <family val="0"/>
      </rPr>
      <t>2,04*3579,9*12</t>
    </r>
  </si>
  <si>
    <t>а)Дворник   0,18*5800+75%+20,3%*12</t>
  </si>
  <si>
    <t>1.2Приобретение спецодежды и инвентаря 0,025*2044,0*12</t>
  </si>
  <si>
    <t>1.3.Приобретение песко-соляной смеси 0,01*2044,0*12</t>
  </si>
  <si>
    <t>1.4.Вывоз и утилизация крупногабаритного мусора   0,13*2044,0*12</t>
  </si>
  <si>
    <t>2.1.Сбор и вывоз ТБО   91чел.*1,5м3*101,01</t>
  </si>
  <si>
    <t>2.2 Захоронение  ТБО   91чел.*1,5м3*38,06</t>
  </si>
  <si>
    <t>2.3. Электроэнергия МОП   4150кВТ*2,89</t>
  </si>
  <si>
    <t>2.5.Аварийная служба 0,32*2044,0*12</t>
  </si>
  <si>
    <t>2.6.ТО вентканалов   48шт*6,08+(48шт*18,06)*4</t>
  </si>
  <si>
    <t>0,78*2044,0*12</t>
  </si>
  <si>
    <r>
      <t xml:space="preserve">5.Общеэксплуатационные расходы      </t>
    </r>
    <r>
      <rPr>
        <sz val="9"/>
        <rFont val="Arial Cyr"/>
        <family val="0"/>
      </rPr>
      <t>2,04*2044,0*12</t>
    </r>
  </si>
  <si>
    <t>а)Дворник   0,21*5800+75%+20,3%*12</t>
  </si>
  <si>
    <t>1.2Приобретение спецодежды и инвентаря 0,025*2050,9*12</t>
  </si>
  <si>
    <t>1.3.Приобретение песко-соляной смеси 0,01*2050,9*12</t>
  </si>
  <si>
    <t>1.4.Вывоз и утилизация крупногабаритного мусора   0,13*2050,9*12</t>
  </si>
  <si>
    <t>2.1.Сбор и вывоз ТБО   53чел.*1,5*101,01</t>
  </si>
  <si>
    <t>2.2 Захоронение  ТБО     53чел.*1,5м3*38,06</t>
  </si>
  <si>
    <t>2.3. Электроэнергия МОП   3600кВТ*2,89</t>
  </si>
  <si>
    <t>2.5.Аварийная служба 0,32*2050,9*12</t>
  </si>
  <si>
    <t>0,78*2050,9*12</t>
  </si>
  <si>
    <t>2,04*2050,9*12</t>
  </si>
  <si>
    <t>а)Дворник   0,43*5800+75%+20,3%*12</t>
  </si>
  <si>
    <t>1.2Приобретение спецодежды и инвентаря 0,025*1958,7*12</t>
  </si>
  <si>
    <t>1.3.Приобретение песко-соляной смеси 0,01*1958,7*12</t>
  </si>
  <si>
    <t>1.4.Вывоз и утилизация крупногабаритного мусора   0,13*1958,7*12</t>
  </si>
  <si>
    <t>65кв.*147</t>
  </si>
  <si>
    <t>а)Дворник   0,539*5800+75%+20,3%*12</t>
  </si>
  <si>
    <t>1.2Приобретение спецодежды и инвентаря 0,025*4881,3*12</t>
  </si>
  <si>
    <t>1.3.Приобретение песко-соляной смеси 0,01*4881,3*12</t>
  </si>
  <si>
    <t>1.4.Вывоз и утилизация крупногабаритного мусора   0,13*4881,3*12</t>
  </si>
  <si>
    <t>2.1.Сбор и вывоз ТБО   207чел.*1,5м3*101,01</t>
  </si>
  <si>
    <t>2.2 Захоронение  ТБО     207чел*1,5м3*38,06</t>
  </si>
  <si>
    <t>2.3. Электроэнергия МОП   11000кВТ*2,89</t>
  </si>
  <si>
    <t>2.5. Дератизация подвала  1,61*1084кв.м.</t>
  </si>
  <si>
    <t>2.6.ТО вентканалов  90шт*6,08</t>
  </si>
  <si>
    <t>90кв.*147</t>
  </si>
  <si>
    <t>0,78*4881,3*12</t>
  </si>
  <si>
    <r>
      <t xml:space="preserve">5.Общеэксплуатационные расходы   </t>
    </r>
    <r>
      <rPr>
        <sz val="9"/>
        <rFont val="Arial Cyr"/>
        <family val="0"/>
      </rPr>
      <t>2,04*4881,3*12</t>
    </r>
  </si>
  <si>
    <t>а)Дворник   0,336*5800+75%+20,3%*12</t>
  </si>
  <si>
    <t>1.2Приобретение спецодежды и инвентаря 0,025*3229,7*12</t>
  </si>
  <si>
    <t>1.3.Приобретение песко-соляной смеси 0,01*3229,7*12</t>
  </si>
  <si>
    <t>1.4.Вывоз и утилизация крупногабаритного мусора   0,13*3229,7*12</t>
  </si>
  <si>
    <t>2.1.Сбор и вывоз ТБО   153чел.*1,5м3*101,01</t>
  </si>
  <si>
    <t>2.2 Захоронение  ТБО     153чел.*1,5м3*38,06</t>
  </si>
  <si>
    <t>2.3. Электроэнергия МОП   8100кВТ*2,89</t>
  </si>
  <si>
    <t>2.6.ТО вентканалов   80шт*6,08+(80шт*16,17)*4</t>
  </si>
  <si>
    <t>2.5.Аварийная служба 0,32*3229,7*12</t>
  </si>
  <si>
    <t>80кв*147</t>
  </si>
  <si>
    <t>0,78*3229,7*12</t>
  </si>
  <si>
    <r>
      <t xml:space="preserve">5.Общеэксплуатационные расходы   </t>
    </r>
    <r>
      <rPr>
        <sz val="9"/>
        <rFont val="Arial Cyr"/>
        <family val="0"/>
      </rPr>
      <t>2,04*3229,7*12</t>
    </r>
  </si>
  <si>
    <t>а)Дворник   0,283*5800+75%+20,3%*12</t>
  </si>
  <si>
    <t>1.2Приобретение спецодежды и инвентаря 0,025*1994,7*12</t>
  </si>
  <si>
    <t>1.3.Приобретение песко-соляной смеси 0,01*1994,7*12</t>
  </si>
  <si>
    <t>1.4.Вывоз и утилизация крупногабаритного мусора   0,13*1994,7*12</t>
  </si>
  <si>
    <t>2.1.Сбор и вывоз ТБО   89чел.*1,5*101,01</t>
  </si>
  <si>
    <t>2.2 Захоронение  ТБО     89чел.*1,5м3*38,06</t>
  </si>
  <si>
    <t>2.3. Электроэнергия МОП   3400кВТ*2,89</t>
  </si>
  <si>
    <t>2.5. Дератизация подвала  1,61*845</t>
  </si>
  <si>
    <t>2.5.Аварийная служба 0,32*1994,7*12</t>
  </si>
  <si>
    <t>27кв.*147,0</t>
  </si>
  <si>
    <t>0,78*1994,7*12</t>
  </si>
  <si>
    <r>
      <t xml:space="preserve">5.Общеэксплуатационные расходы   </t>
    </r>
    <r>
      <rPr>
        <sz val="9"/>
        <rFont val="Arial Cyr"/>
        <family val="0"/>
      </rPr>
      <t>2,04*1994,7*12</t>
    </r>
  </si>
  <si>
    <t>а)Дворник   0,368*5800+75%+20,3%*12</t>
  </si>
  <si>
    <t>1.3.Приобретение песко-соляной смеси 0,01*3223,3*12</t>
  </si>
  <si>
    <t>1.4.Вывоз и утилизация крупногабаритного мусора   0,13*3223,3*12</t>
  </si>
  <si>
    <t>2.3. Электроэнергия МОП   8300кВТ*2,89</t>
  </si>
  <si>
    <t>2.5.Аварийная служба 0,32*3223,3*12</t>
  </si>
  <si>
    <t>2.6.ТО вентканалов   80шт*6,08+(80шт*18,06)*4</t>
  </si>
  <si>
    <t>0,78*3223,3*12</t>
  </si>
  <si>
    <r>
      <t xml:space="preserve">5.Общеэксплуатационные расходы   </t>
    </r>
    <r>
      <rPr>
        <sz val="9"/>
        <rFont val="Arial Cyr"/>
        <family val="0"/>
      </rPr>
      <t>2,04*3223,3*12</t>
    </r>
  </si>
  <si>
    <t>а)Дворник   0,397*5800+75%+20,3%*12</t>
  </si>
  <si>
    <t>1.2Приобретение спецодежды и инвентаря 0,025*2362,5*12</t>
  </si>
  <si>
    <t>1.3.Приобретение песко-соляной смеси 0,01*2362,51*12</t>
  </si>
  <si>
    <t>1.4.Вывоз и утилизация крупногабаритного мусора   0,13*2362,5*12</t>
  </si>
  <si>
    <t>2.1.Сбор и вывоз ТБО 103чел.*1,5м3*101,01</t>
  </si>
  <si>
    <t>2.2 Захоронение  ТБО    103чел* 1,5м3*38,06</t>
  </si>
  <si>
    <t>2.3. Электроэнергия МОП   7300кВТ*2,89</t>
  </si>
  <si>
    <t>2.5. Дератизация подвала  1,61*750</t>
  </si>
  <si>
    <t>2.5.Аварийная служба 0,32*2362,5*12</t>
  </si>
  <si>
    <t>2.6.ТО вентканалов   45шт*6,08</t>
  </si>
  <si>
    <t>0,78*2362,5*12</t>
  </si>
  <si>
    <r>
      <t xml:space="preserve">5.Общеэксплуатационные расходы   </t>
    </r>
    <r>
      <rPr>
        <sz val="9"/>
        <rFont val="Arial Cyr"/>
        <family val="0"/>
      </rPr>
      <t>2,04*2362,5*12</t>
    </r>
  </si>
  <si>
    <t>а)Дворник   0,1872*5800+75%+20,3%*12</t>
  </si>
  <si>
    <t>1.2Приобретение спецодежды и инвентаря 0,025*3286,1*12</t>
  </si>
  <si>
    <t>1.3.Приобретение песко-соляной смеси 0,01*3286,1*12</t>
  </si>
  <si>
    <t>1.4.Вывоз и утилизация крупногабаритного мусора   0,13*3290,2*12</t>
  </si>
  <si>
    <t>2.1.Сбор и вывоз ТБО   127чел.*1,5м3*101,01</t>
  </si>
  <si>
    <t>2.2 Захоронение  ТБО    127чел.*1,5м3*38,06</t>
  </si>
  <si>
    <t>2.3. Электроэнергия МОП   8000кВТ*2,89</t>
  </si>
  <si>
    <t>2.5.Аварийная служба 0,32*3286,1*12</t>
  </si>
  <si>
    <t>0,78*3286,1*12</t>
  </si>
  <si>
    <r>
      <t xml:space="preserve">5.Общеэксплуатационные расходы   </t>
    </r>
    <r>
      <rPr>
        <sz val="9"/>
        <rFont val="Arial Cyr"/>
        <family val="0"/>
      </rPr>
      <t>2,04*3286,1*12</t>
    </r>
  </si>
  <si>
    <t>а)Дворник   0,298*5800+75%+20,3%*12</t>
  </si>
  <si>
    <t>1.2Приобретение спецодежды и инвентаря 0,025*3216,3*12</t>
  </si>
  <si>
    <t>1.3.Приобретение песко-соляной смеси 0,01*3216,3*12</t>
  </si>
  <si>
    <t>1.4.Вывоз и утилизация крупногабаритного мусора   0,13*3216,3*12</t>
  </si>
  <si>
    <t>2.1.Сбор и вывоз ТБО   158чел.*1,5м3*101,01</t>
  </si>
  <si>
    <t>2.2 Захоронение  ТБО    158чел*1,5м3*38,06</t>
  </si>
  <si>
    <t>2.3. Электроэнергия МОП   7900кВТ*2,89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</si>
</sst>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</numFmts>
  <fonts count="16">
    <font>
      <sz val="10"/>
      <name val="Arial Cyr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0"/>
      <name val="Arial"/>
      <family val="0"/>
    </font>
    <font>
      <sz val="12"/>
      <name val="Arial Cyr"/>
      <family val="0"/>
    </font>
    <font>
      <b/>
      <i/>
      <sz val="10"/>
      <name val="Arial Cyr"/>
      <family val="2"/>
    </font>
    <font>
      <b/>
      <i/>
      <sz val="12"/>
      <name val="Arial"/>
      <family val="2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2" fontId="0" fillId="0" borderId="1" xfId="17" applyNumberFormat="1" applyFont="1" applyBorder="1" applyAlignment="1">
      <alignment horizontal="right"/>
      <protection/>
    </xf>
    <xf numFmtId="0" fontId="1" fillId="0" borderId="1" xfId="17" applyBorder="1">
      <alignment/>
      <protection/>
    </xf>
    <xf numFmtId="0" fontId="7" fillId="0" borderId="2" xfId="17" applyFont="1" applyBorder="1" applyAlignment="1">
      <alignment horizontal="left"/>
      <protection/>
    </xf>
    <xf numFmtId="2" fontId="8" fillId="0" borderId="3" xfId="17" applyNumberFormat="1" applyFont="1" applyBorder="1" applyAlignment="1">
      <alignment horizontal="right"/>
      <protection/>
    </xf>
    <xf numFmtId="0" fontId="1" fillId="0" borderId="1" xfId="17" applyFont="1" applyBorder="1">
      <alignment/>
      <protection/>
    </xf>
    <xf numFmtId="0" fontId="7" fillId="0" borderId="0" xfId="17" applyFont="1" applyBorder="1" applyAlignment="1">
      <alignment horizontal="left"/>
      <protection/>
    </xf>
    <xf numFmtId="0" fontId="0" fillId="0" borderId="0" xfId="17" applyFont="1" applyBorder="1" applyAlignment="1">
      <alignment horizontal="center"/>
      <protection/>
    </xf>
    <xf numFmtId="2" fontId="8" fillId="0" borderId="0" xfId="17" applyNumberFormat="1" applyFont="1" applyBorder="1" applyAlignment="1">
      <alignment horizontal="right"/>
      <protection/>
    </xf>
    <xf numFmtId="168" fontId="8" fillId="0" borderId="0" xfId="17" applyNumberFormat="1" applyFont="1" applyBorder="1" applyAlignment="1">
      <alignment horizontal="right"/>
      <protection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horizontal="center" wrapText="1"/>
      <protection/>
    </xf>
    <xf numFmtId="0" fontId="1" fillId="0" borderId="0" xfId="17" applyFont="1" applyBorder="1" applyAlignment="1">
      <alignment/>
      <protection/>
    </xf>
    <xf numFmtId="0" fontId="1" fillId="0" borderId="1" xfId="17" applyFont="1" applyBorder="1">
      <alignment/>
      <protection/>
    </xf>
    <xf numFmtId="2" fontId="8" fillId="0" borderId="3" xfId="17" applyNumberFormat="1" applyFont="1" applyBorder="1" applyAlignment="1">
      <alignment horizontal="right"/>
      <protection/>
    </xf>
    <xf numFmtId="2" fontId="8" fillId="0" borderId="3" xfId="17" applyNumberFormat="1" applyFont="1" applyBorder="1" applyAlignment="1">
      <alignment horizontal="right" wrapText="1"/>
      <protection/>
    </xf>
    <xf numFmtId="0" fontId="0" fillId="0" borderId="3" xfId="0" applyBorder="1" applyAlignment="1">
      <alignment wrapText="1"/>
    </xf>
    <xf numFmtId="0" fontId="1" fillId="0" borderId="0" xfId="1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2" fontId="7" fillId="0" borderId="4" xfId="17" applyNumberFormat="1" applyFont="1" applyBorder="1" applyAlignment="1">
      <alignment vertical="top"/>
      <protection/>
    </xf>
    <xf numFmtId="0" fontId="4" fillId="0" borderId="0" xfId="17" applyFont="1" applyBorder="1" applyAlignment="1">
      <alignment horizontal="center" vertical="center" wrapText="1"/>
      <protection/>
    </xf>
    <xf numFmtId="2" fontId="0" fillId="0" borderId="3" xfId="17" applyNumberFormat="1" applyFont="1" applyBorder="1" applyAlignment="1">
      <alignment horizontal="right"/>
      <protection/>
    </xf>
    <xf numFmtId="2" fontId="0" fillId="0" borderId="3" xfId="17" applyNumberFormat="1" applyFont="1" applyBorder="1" applyAlignment="1">
      <alignment horizontal="right"/>
      <protection/>
    </xf>
    <xf numFmtId="0" fontId="6" fillId="0" borderId="2" xfId="17" applyFont="1" applyBorder="1" applyAlignment="1">
      <alignment wrapText="1"/>
      <protection/>
    </xf>
    <xf numFmtId="0" fontId="6" fillId="0" borderId="5" xfId="17" applyFont="1" applyBorder="1" applyAlignment="1">
      <alignment wrapText="1"/>
      <protection/>
    </xf>
    <xf numFmtId="0" fontId="0" fillId="0" borderId="6" xfId="0" applyBorder="1" applyAlignment="1">
      <alignment wrapText="1"/>
    </xf>
    <xf numFmtId="0" fontId="7" fillId="0" borderId="7" xfId="17" applyFont="1" applyBorder="1" applyAlignment="1">
      <alignment/>
      <protection/>
    </xf>
    <xf numFmtId="0" fontId="7" fillId="0" borderId="7" xfId="17" applyFont="1" applyBorder="1" applyAlignment="1">
      <alignment vertical="top"/>
      <protection/>
    </xf>
    <xf numFmtId="0" fontId="0" fillId="0" borderId="8" xfId="0" applyBorder="1" applyAlignment="1">
      <alignment/>
    </xf>
    <xf numFmtId="0" fontId="0" fillId="0" borderId="8" xfId="17" applyFont="1" applyBorder="1">
      <alignment/>
      <protection/>
    </xf>
    <xf numFmtId="0" fontId="8" fillId="0" borderId="6" xfId="17" applyFont="1" applyBorder="1">
      <alignment/>
      <protection/>
    </xf>
    <xf numFmtId="0" fontId="9" fillId="0" borderId="7" xfId="17" applyFont="1" applyBorder="1" applyAlignment="1">
      <alignment/>
      <protection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5" xfId="17" applyFont="1" applyBorder="1" applyAlignment="1">
      <alignment horizontal="center"/>
      <protection/>
    </xf>
    <xf numFmtId="2" fontId="8" fillId="0" borderId="5" xfId="17" applyNumberFormat="1" applyFont="1" applyBorder="1" applyAlignment="1">
      <alignment horizontal="right"/>
      <protection/>
    </xf>
    <xf numFmtId="0" fontId="7" fillId="0" borderId="9" xfId="17" applyFont="1" applyBorder="1" applyAlignment="1">
      <alignment vertical="top"/>
      <protection/>
    </xf>
    <xf numFmtId="0" fontId="7" fillId="0" borderId="0" xfId="17" applyFont="1" applyBorder="1" applyAlignment="1">
      <alignment vertical="top"/>
      <protection/>
    </xf>
    <xf numFmtId="0" fontId="7" fillId="0" borderId="4" xfId="17" applyFont="1" applyBorder="1" applyAlignment="1">
      <alignment vertical="top"/>
      <protection/>
    </xf>
    <xf numFmtId="0" fontId="0" fillId="0" borderId="10" xfId="0" applyBorder="1" applyAlignment="1">
      <alignment/>
    </xf>
    <xf numFmtId="2" fontId="0" fillId="0" borderId="10" xfId="17" applyNumberFormat="1" applyFont="1" applyBorder="1" applyAlignment="1">
      <alignment horizontal="right"/>
      <protection/>
    </xf>
    <xf numFmtId="0" fontId="0" fillId="0" borderId="5" xfId="0" applyBorder="1" applyAlignment="1">
      <alignment wrapText="1"/>
    </xf>
    <xf numFmtId="0" fontId="8" fillId="0" borderId="3" xfId="0" applyFont="1" applyBorder="1" applyAlignment="1">
      <alignment wrapText="1" shrinkToFit="1"/>
    </xf>
    <xf numFmtId="0" fontId="9" fillId="0" borderId="3" xfId="17" applyFont="1" applyBorder="1" applyAlignment="1">
      <alignment horizontal="center" vertical="center" wrapText="1"/>
      <protection/>
    </xf>
    <xf numFmtId="168" fontId="1" fillId="0" borderId="1" xfId="17" applyNumberFormat="1" applyBorder="1">
      <alignment/>
      <protection/>
    </xf>
    <xf numFmtId="0" fontId="1" fillId="0" borderId="5" xfId="17" applyFont="1" applyBorder="1">
      <alignment/>
      <protection/>
    </xf>
    <xf numFmtId="168" fontId="4" fillId="0" borderId="1" xfId="17" applyNumberFormat="1" applyFont="1" applyBorder="1">
      <alignment/>
      <protection/>
    </xf>
    <xf numFmtId="0" fontId="1" fillId="0" borderId="0" xfId="17" applyFont="1">
      <alignment/>
      <protection/>
    </xf>
    <xf numFmtId="0" fontId="7" fillId="0" borderId="2" xfId="17" applyFont="1" applyBorder="1" applyAlignment="1">
      <alignment/>
      <protection/>
    </xf>
    <xf numFmtId="0" fontId="0" fillId="0" borderId="5" xfId="0" applyBorder="1" applyAlignment="1">
      <alignment/>
    </xf>
    <xf numFmtId="0" fontId="12" fillId="0" borderId="0" xfId="0" applyFont="1" applyAlignment="1">
      <alignment/>
    </xf>
    <xf numFmtId="2" fontId="11" fillId="0" borderId="3" xfId="17" applyNumberFormat="1" applyFont="1" applyBorder="1">
      <alignment/>
      <protection/>
    </xf>
    <xf numFmtId="49" fontId="8" fillId="0" borderId="0" xfId="17" applyNumberFormat="1" applyFont="1" applyBorder="1" applyAlignment="1">
      <alignment horizontal="right"/>
      <protection/>
    </xf>
    <xf numFmtId="2" fontId="4" fillId="0" borderId="1" xfId="17" applyNumberFormat="1" applyFont="1" applyBorder="1" applyAlignment="1">
      <alignment wrapText="1"/>
      <protection/>
    </xf>
    <xf numFmtId="2" fontId="1" fillId="0" borderId="1" xfId="17" applyNumberFormat="1" applyBorder="1" applyAlignment="1">
      <alignment wrapText="1"/>
      <protection/>
    </xf>
    <xf numFmtId="2" fontId="0" fillId="0" borderId="0" xfId="0" applyNumberFormat="1" applyAlignment="1">
      <alignment wrapText="1"/>
    </xf>
    <xf numFmtId="2" fontId="1" fillId="0" borderId="0" xfId="17" applyNumberFormat="1" applyAlignment="1">
      <alignment wrapText="1"/>
      <protection/>
    </xf>
    <xf numFmtId="0" fontId="1" fillId="0" borderId="0" xfId="17" applyFont="1">
      <alignment/>
      <protection/>
    </xf>
    <xf numFmtId="2" fontId="11" fillId="0" borderId="0" xfId="17" applyNumberFormat="1" applyFont="1" applyBorder="1">
      <alignment/>
      <protection/>
    </xf>
    <xf numFmtId="0" fontId="5" fillId="0" borderId="0" xfId="17" applyFont="1" applyBorder="1" applyAlignment="1">
      <alignment/>
      <protection/>
    </xf>
    <xf numFmtId="10" fontId="8" fillId="0" borderId="0" xfId="17" applyNumberFormat="1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2" fontId="6" fillId="0" borderId="0" xfId="17" applyNumberFormat="1" applyFont="1" applyBorder="1" applyAlignment="1">
      <alignment wrapText="1"/>
      <protection/>
    </xf>
    <xf numFmtId="2" fontId="0" fillId="0" borderId="1" xfId="17" applyNumberFormat="1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17" applyFont="1">
      <alignment/>
      <protection/>
    </xf>
    <xf numFmtId="2" fontId="5" fillId="0" borderId="1" xfId="17" applyNumberFormat="1" applyFont="1" applyBorder="1" applyAlignment="1">
      <alignment wrapText="1"/>
      <protection/>
    </xf>
    <xf numFmtId="2" fontId="1" fillId="0" borderId="1" xfId="17" applyNumberFormat="1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8" fillId="0" borderId="3" xfId="17" applyFont="1" applyBorder="1" applyAlignment="1">
      <alignment horizontal="center" vertical="center" wrapText="1"/>
      <protection/>
    </xf>
    <xf numFmtId="0" fontId="13" fillId="0" borderId="9" xfId="17" applyFont="1" applyBorder="1" applyAlignment="1">
      <alignment vertical="top"/>
      <protection/>
    </xf>
    <xf numFmtId="0" fontId="13" fillId="0" borderId="0" xfId="17" applyFont="1" applyBorder="1" applyAlignment="1">
      <alignment vertical="top"/>
      <protection/>
    </xf>
    <xf numFmtId="0" fontId="13" fillId="0" borderId="4" xfId="17" applyFont="1" applyBorder="1" applyAlignment="1">
      <alignment vertical="top"/>
      <protection/>
    </xf>
    <xf numFmtId="2" fontId="13" fillId="0" borderId="4" xfId="17" applyNumberFormat="1" applyFont="1" applyBorder="1" applyAlignment="1">
      <alignment vertical="top"/>
      <protection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" xfId="17" applyFont="1" applyBorder="1" applyAlignment="1">
      <alignment wrapText="1"/>
      <protection/>
    </xf>
    <xf numFmtId="0" fontId="0" fillId="0" borderId="5" xfId="17" applyFont="1" applyBorder="1" applyAlignment="1">
      <alignment wrapText="1"/>
      <protection/>
    </xf>
    <xf numFmtId="2" fontId="0" fillId="0" borderId="3" xfId="17" applyNumberFormat="1" applyFont="1" applyBorder="1" applyAlignment="1">
      <alignment horizontal="right"/>
      <protection/>
    </xf>
    <xf numFmtId="0" fontId="0" fillId="0" borderId="3" xfId="0" applyFont="1" applyBorder="1" applyAlignment="1">
      <alignment wrapText="1"/>
    </xf>
    <xf numFmtId="2" fontId="0" fillId="0" borderId="1" xfId="17" applyNumberFormat="1" applyFont="1" applyBorder="1" applyAlignment="1">
      <alignment horizontal="right"/>
      <protection/>
    </xf>
    <xf numFmtId="0" fontId="8" fillId="0" borderId="7" xfId="17" applyFont="1" applyBorder="1" applyAlignment="1">
      <alignment/>
      <protection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13" fillId="0" borderId="2" xfId="17" applyFont="1" applyBorder="1" applyAlignment="1">
      <alignment horizontal="left"/>
      <protection/>
    </xf>
    <xf numFmtId="0" fontId="13" fillId="0" borderId="0" xfId="17" applyFont="1" applyBorder="1" applyAlignment="1">
      <alignment horizontal="left"/>
      <protection/>
    </xf>
    <xf numFmtId="0" fontId="14" fillId="0" borderId="0" xfId="17" applyFont="1">
      <alignment/>
      <protection/>
    </xf>
    <xf numFmtId="0" fontId="6" fillId="0" borderId="6" xfId="0" applyFont="1" applyBorder="1" applyAlignment="1">
      <alignment wrapText="1"/>
    </xf>
    <xf numFmtId="2" fontId="8" fillId="0" borderId="6" xfId="17" applyNumberFormat="1" applyFont="1" applyBorder="1" applyAlignment="1">
      <alignment horizontal="right"/>
      <protection/>
    </xf>
    <xf numFmtId="0" fontId="6" fillId="0" borderId="8" xfId="17" applyFont="1" applyBorder="1" applyAlignment="1">
      <alignment vertical="top" wrapText="1"/>
      <protection/>
    </xf>
    <xf numFmtId="0" fontId="6" fillId="0" borderId="11" xfId="17" applyFont="1" applyBorder="1" applyAlignment="1">
      <alignment wrapText="1"/>
      <protection/>
    </xf>
    <xf numFmtId="0" fontId="6" fillId="0" borderId="12" xfId="17" applyFont="1" applyBorder="1" applyAlignment="1">
      <alignment wrapText="1"/>
      <protection/>
    </xf>
    <xf numFmtId="169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11" fillId="0" borderId="3" xfId="17" applyNumberFormat="1" applyFont="1" applyBorder="1">
      <alignment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17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4" fillId="0" borderId="0" xfId="17" applyFont="1" applyBorder="1">
      <alignment/>
      <protection/>
    </xf>
    <xf numFmtId="0" fontId="4" fillId="0" borderId="11" xfId="17" applyFont="1" applyBorder="1">
      <alignment/>
      <protection/>
    </xf>
    <xf numFmtId="0" fontId="1" fillId="0" borderId="12" xfId="17" applyFont="1" applyBorder="1">
      <alignment/>
      <protection/>
    </xf>
    <xf numFmtId="2" fontId="1" fillId="0" borderId="0" xfId="17" applyNumberFormat="1">
      <alignment/>
      <protection/>
    </xf>
    <xf numFmtId="2" fontId="8" fillId="0" borderId="1" xfId="17" applyNumberFormat="1" applyFont="1" applyBorder="1" applyAlignment="1">
      <alignment horizontal="right"/>
      <protection/>
    </xf>
    <xf numFmtId="0" fontId="11" fillId="0" borderId="8" xfId="17" applyFont="1" applyBorder="1" applyAlignment="1">
      <alignment horizontal="left" wrapText="1"/>
      <protection/>
    </xf>
    <xf numFmtId="0" fontId="7" fillId="0" borderId="7" xfId="17" applyFont="1" applyBorder="1" applyAlignment="1">
      <alignment/>
      <protection/>
    </xf>
    <xf numFmtId="0" fontId="5" fillId="0" borderId="8" xfId="17" applyFont="1" applyBorder="1" applyAlignment="1">
      <alignment horizontal="left" wrapText="1"/>
      <protection/>
    </xf>
    <xf numFmtId="0" fontId="6" fillId="0" borderId="5" xfId="17" applyFont="1" applyBorder="1" applyAlignment="1">
      <alignment vertical="top" wrapText="1"/>
      <protection/>
    </xf>
    <xf numFmtId="0" fontId="6" fillId="0" borderId="11" xfId="17" applyFont="1" applyBorder="1" applyAlignment="1">
      <alignment wrapText="1"/>
      <protection/>
    </xf>
    <xf numFmtId="0" fontId="6" fillId="0" borderId="12" xfId="17" applyFont="1" applyBorder="1" applyAlignment="1">
      <alignment wrapText="1"/>
      <protection/>
    </xf>
    <xf numFmtId="0" fontId="1" fillId="0" borderId="13" xfId="17" applyFont="1" applyBorder="1" applyAlignment="1">
      <alignment horizontal="center" vertical="center" wrapText="1"/>
      <protection/>
    </xf>
    <xf numFmtId="0" fontId="9" fillId="0" borderId="2" xfId="17" applyFont="1" applyBorder="1" applyAlignment="1">
      <alignment horizontal="center" vertical="center" wrapText="1" shrinkToFit="1"/>
      <protection/>
    </xf>
    <xf numFmtId="0" fontId="9" fillId="0" borderId="5" xfId="17" applyFont="1" applyBorder="1" applyAlignment="1">
      <alignment horizontal="center" vertical="center" wrapText="1" shrinkToFit="1"/>
      <protection/>
    </xf>
    <xf numFmtId="0" fontId="6" fillId="0" borderId="2" xfId="17" applyFont="1" applyBorder="1" applyAlignment="1">
      <alignment vertical="top" wrapText="1"/>
      <protection/>
    </xf>
    <xf numFmtId="0" fontId="3" fillId="0" borderId="0" xfId="17" applyFont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4" fillId="0" borderId="2" xfId="17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4" xfId="17" applyFont="1" applyBorder="1" applyAlignment="1">
      <alignment horizontal="center" vertical="center" wrapText="1"/>
      <protection/>
    </xf>
    <xf numFmtId="0" fontId="4" fillId="0" borderId="13" xfId="17" applyFont="1" applyBorder="1" applyAlignment="1">
      <alignment horizontal="center" vertical="center" wrapText="1"/>
      <protection/>
    </xf>
    <xf numFmtId="0" fontId="1" fillId="0" borderId="14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wrapText="1"/>
      <protection/>
    </xf>
    <xf numFmtId="0" fontId="6" fillId="0" borderId="5" xfId="17" applyFont="1" applyBorder="1" applyAlignment="1">
      <alignment wrapText="1"/>
      <protection/>
    </xf>
    <xf numFmtId="0" fontId="0" fillId="0" borderId="3" xfId="0" applyBorder="1" applyAlignment="1">
      <alignment wrapText="1"/>
    </xf>
    <xf numFmtId="0" fontId="7" fillId="0" borderId="2" xfId="17" applyFont="1" applyBorder="1" applyAlignment="1">
      <alignment wrapText="1"/>
      <protection/>
    </xf>
    <xf numFmtId="0" fontId="7" fillId="0" borderId="5" xfId="17" applyFont="1" applyBorder="1" applyAlignment="1">
      <alignment wrapText="1"/>
      <protection/>
    </xf>
    <xf numFmtId="0" fontId="7" fillId="0" borderId="7" xfId="17" applyFont="1" applyBorder="1" applyAlignment="1">
      <alignment horizontal="left" wrapText="1"/>
      <protection/>
    </xf>
    <xf numFmtId="0" fontId="7" fillId="0" borderId="8" xfId="17" applyFont="1" applyBorder="1" applyAlignment="1">
      <alignment horizontal="left" wrapText="1"/>
      <protection/>
    </xf>
    <xf numFmtId="0" fontId="7" fillId="0" borderId="7" xfId="17" applyFont="1" applyBorder="1" applyAlignment="1">
      <alignment vertical="top" wrapText="1"/>
      <protection/>
    </xf>
    <xf numFmtId="0" fontId="7" fillId="0" borderId="8" xfId="17" applyFont="1" applyBorder="1" applyAlignment="1">
      <alignment vertical="top" wrapText="1"/>
      <protection/>
    </xf>
    <xf numFmtId="0" fontId="9" fillId="0" borderId="7" xfId="17" applyFont="1" applyBorder="1" applyAlignment="1">
      <alignment horizontal="left" wrapText="1"/>
      <protection/>
    </xf>
    <xf numFmtId="0" fontId="9" fillId="0" borderId="8" xfId="17" applyFont="1" applyBorder="1" applyAlignment="1">
      <alignment horizontal="left" wrapText="1"/>
      <protection/>
    </xf>
    <xf numFmtId="0" fontId="11" fillId="0" borderId="7" xfId="17" applyFont="1" applyBorder="1" applyAlignment="1">
      <alignment horizontal="left" wrapText="1"/>
      <protection/>
    </xf>
    <xf numFmtId="0" fontId="11" fillId="0" borderId="8" xfId="17" applyFont="1" applyBorder="1" applyAlignment="1">
      <alignment horizontal="left" wrapText="1"/>
      <protection/>
    </xf>
    <xf numFmtId="0" fontId="11" fillId="0" borderId="2" xfId="17" applyFont="1" applyBorder="1" applyAlignment="1">
      <alignment horizontal="left" wrapText="1"/>
      <protection/>
    </xf>
    <xf numFmtId="0" fontId="0" fillId="0" borderId="5" xfId="0" applyBorder="1" applyAlignment="1">
      <alignment horizontal="left" wrapText="1"/>
    </xf>
    <xf numFmtId="0" fontId="5" fillId="0" borderId="2" xfId="17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4" xfId="17" applyFont="1" applyBorder="1" applyAlignment="1">
      <alignment horizontal="center" vertical="center" wrapText="1"/>
      <protection/>
    </xf>
    <xf numFmtId="0" fontId="5" fillId="0" borderId="13" xfId="17" applyFont="1" applyBorder="1" applyAlignment="1">
      <alignment horizontal="center" vertical="center" wrapText="1"/>
      <protection/>
    </xf>
    <xf numFmtId="0" fontId="8" fillId="0" borderId="2" xfId="17" applyFont="1" applyBorder="1" applyAlignment="1">
      <alignment horizontal="center" vertical="center" wrapText="1" shrinkToFit="1"/>
      <protection/>
    </xf>
    <xf numFmtId="0" fontId="8" fillId="0" borderId="5" xfId="17" applyFont="1" applyBorder="1" applyAlignment="1">
      <alignment horizontal="center" vertical="center" wrapText="1" shrinkToFit="1"/>
      <protection/>
    </xf>
    <xf numFmtId="0" fontId="0" fillId="0" borderId="2" xfId="17" applyFont="1" applyBorder="1" applyAlignment="1">
      <alignment vertical="top" wrapText="1"/>
      <protection/>
    </xf>
    <xf numFmtId="0" fontId="0" fillId="0" borderId="5" xfId="17" applyFont="1" applyBorder="1" applyAlignment="1">
      <alignment vertical="top" wrapText="1"/>
      <protection/>
    </xf>
    <xf numFmtId="0" fontId="0" fillId="0" borderId="11" xfId="17" applyFont="1" applyBorder="1" applyAlignment="1">
      <alignment wrapText="1"/>
      <protection/>
    </xf>
    <xf numFmtId="0" fontId="0" fillId="0" borderId="12" xfId="17" applyFont="1" applyBorder="1" applyAlignment="1">
      <alignment wrapText="1"/>
      <protection/>
    </xf>
    <xf numFmtId="0" fontId="13" fillId="0" borderId="2" xfId="17" applyFont="1" applyBorder="1" applyAlignment="1">
      <alignment wrapText="1"/>
      <protection/>
    </xf>
    <xf numFmtId="0" fontId="13" fillId="0" borderId="5" xfId="17" applyFont="1" applyBorder="1" applyAlignment="1">
      <alignment wrapText="1"/>
      <protection/>
    </xf>
    <xf numFmtId="0" fontId="0" fillId="0" borderId="2" xfId="17" applyFont="1" applyBorder="1" applyAlignment="1">
      <alignment wrapText="1"/>
      <protection/>
    </xf>
    <xf numFmtId="0" fontId="0" fillId="0" borderId="5" xfId="17" applyFont="1" applyBorder="1" applyAlignment="1">
      <alignment wrapText="1"/>
      <protection/>
    </xf>
    <xf numFmtId="0" fontId="8" fillId="0" borderId="7" xfId="17" applyFont="1" applyBorder="1" applyAlignment="1">
      <alignment horizontal="left" wrapText="1"/>
      <protection/>
    </xf>
    <xf numFmtId="0" fontId="8" fillId="0" borderId="8" xfId="17" applyFont="1" applyBorder="1" applyAlignment="1">
      <alignment horizontal="left" wrapText="1"/>
      <protection/>
    </xf>
    <xf numFmtId="0" fontId="0" fillId="0" borderId="8" xfId="0" applyBorder="1" applyAlignment="1">
      <alignment wrapText="1"/>
    </xf>
    <xf numFmtId="0" fontId="7" fillId="0" borderId="2" xfId="17" applyFont="1" applyBorder="1" applyAlignment="1">
      <alignment vertical="top" wrapText="1"/>
      <protection/>
    </xf>
    <xf numFmtId="0" fontId="0" fillId="0" borderId="5" xfId="0" applyBorder="1" applyAlignment="1">
      <alignment vertical="top" wrapText="1"/>
    </xf>
    <xf numFmtId="0" fontId="2" fillId="0" borderId="0" xfId="17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3" xfId="0" applyBorder="1" applyAlignment="1">
      <alignment wrapText="1"/>
    </xf>
    <xf numFmtId="0" fontId="7" fillId="0" borderId="7" xfId="17" applyFont="1" applyBorder="1" applyAlignment="1">
      <alignment horizontal="left" wrapText="1"/>
      <protection/>
    </xf>
    <xf numFmtId="0" fontId="7" fillId="0" borderId="8" xfId="17" applyFont="1" applyBorder="1" applyAlignment="1">
      <alignment horizontal="left" wrapText="1"/>
      <protection/>
    </xf>
    <xf numFmtId="0" fontId="5" fillId="0" borderId="7" xfId="17" applyFont="1" applyBorder="1" applyAlignment="1">
      <alignment horizontal="left" wrapText="1"/>
      <protection/>
    </xf>
    <xf numFmtId="0" fontId="5" fillId="0" borderId="8" xfId="17" applyFont="1" applyBorder="1" applyAlignment="1">
      <alignment horizontal="left" wrapText="1"/>
      <protection/>
    </xf>
    <xf numFmtId="0" fontId="5" fillId="0" borderId="2" xfId="17" applyFont="1" applyBorder="1" applyAlignment="1">
      <alignment horizontal="left" wrapText="1"/>
      <protection/>
    </xf>
    <xf numFmtId="0" fontId="15" fillId="0" borderId="5" xfId="0" applyFont="1" applyBorder="1" applyAlignment="1">
      <alignment horizontal="left" wrapText="1"/>
    </xf>
    <xf numFmtId="0" fontId="0" fillId="0" borderId="2" xfId="17" applyFont="1" applyBorder="1" applyAlignment="1">
      <alignment vertical="top" wrapText="1"/>
      <protection/>
    </xf>
    <xf numFmtId="0" fontId="0" fillId="0" borderId="5" xfId="17" applyFont="1" applyBorder="1" applyAlignment="1">
      <alignment vertical="top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8" fillId="0" borderId="0" xfId="17" applyNumberFormat="1" applyFont="1" applyBorder="1" applyAlignment="1">
      <alignment horizontal="right" wrapText="1"/>
      <protection/>
    </xf>
    <xf numFmtId="0" fontId="0" fillId="0" borderId="0" xfId="0" applyAlignment="1">
      <alignment wrapText="1"/>
    </xf>
    <xf numFmtId="0" fontId="7" fillId="0" borderId="7" xfId="17" applyFont="1" applyBorder="1" applyAlignment="1">
      <alignment vertical="top" wrapText="1"/>
      <protection/>
    </xf>
    <xf numFmtId="0" fontId="6" fillId="0" borderId="8" xfId="17" applyFont="1" applyBorder="1" applyAlignment="1">
      <alignment vertical="top" wrapText="1"/>
      <protection/>
    </xf>
    <xf numFmtId="0" fontId="4" fillId="0" borderId="15" xfId="17" applyFont="1" applyBorder="1" applyAlignment="1">
      <alignment horizontal="center" vertical="center" wrapText="1"/>
      <protection/>
    </xf>
    <xf numFmtId="0" fontId="1" fillId="0" borderId="15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wrapText="1"/>
      <protection/>
    </xf>
    <xf numFmtId="0" fontId="7" fillId="0" borderId="2" xfId="17" applyFont="1" applyBorder="1" applyAlignment="1">
      <alignment horizontal="left" wrapText="1"/>
      <protection/>
    </xf>
    <xf numFmtId="0" fontId="7" fillId="0" borderId="5" xfId="17" applyFont="1" applyBorder="1" applyAlignment="1">
      <alignment horizontal="left" wrapText="1"/>
      <protection/>
    </xf>
    <xf numFmtId="0" fontId="7" fillId="0" borderId="5" xfId="17" applyFont="1" applyBorder="1" applyAlignment="1">
      <alignment vertical="top" wrapText="1"/>
      <protection/>
    </xf>
    <xf numFmtId="0" fontId="9" fillId="0" borderId="2" xfId="17" applyFont="1" applyBorder="1" applyAlignment="1">
      <alignment horizontal="left" wrapText="1"/>
      <protection/>
    </xf>
    <xf numFmtId="0" fontId="9" fillId="0" borderId="5" xfId="17" applyFont="1" applyBorder="1" applyAlignment="1">
      <alignment horizontal="left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38" sqref="A38: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1:5" ht="12.75">
      <c r="A3" s="69"/>
      <c r="B3" s="69"/>
      <c r="C3" s="69" t="s">
        <v>278</v>
      </c>
      <c r="D3" s="69"/>
      <c r="E3" s="69"/>
    </row>
    <row r="4" spans="1:5" ht="12.75">
      <c r="A4" s="69"/>
      <c r="B4" s="69"/>
      <c r="C4" s="69"/>
      <c r="D4" s="69"/>
      <c r="E4" s="69"/>
    </row>
    <row r="5" spans="1:5" ht="12.75">
      <c r="A5" s="69"/>
      <c r="B5" s="69"/>
      <c r="C5" s="69"/>
      <c r="D5" s="69"/>
      <c r="E5" s="69"/>
    </row>
    <row r="6" spans="1:15" ht="22.5" customHeight="1">
      <c r="A6" s="127" t="s">
        <v>547</v>
      </c>
      <c r="B6" s="128"/>
      <c r="C6" s="128"/>
      <c r="D6" s="128"/>
      <c r="E6" s="12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94" t="s">
        <v>537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2561.7</v>
      </c>
      <c r="B12" s="58">
        <v>196.8</v>
      </c>
      <c r="C12" s="58">
        <v>1330</v>
      </c>
      <c r="D12" s="58"/>
      <c r="E12" s="58">
        <v>1658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538</v>
      </c>
      <c r="C14" s="134" t="s">
        <v>539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540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76136.98499999999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548</v>
      </c>
      <c r="B20" s="122"/>
      <c r="C20" s="122"/>
      <c r="D20" s="43"/>
      <c r="E20" s="44">
        <f>0.485*5800*1.75*1.203*12</f>
        <v>71064.819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549</v>
      </c>
      <c r="B21" s="136"/>
      <c r="C21" s="136"/>
      <c r="D21" s="20"/>
      <c r="E21" s="25">
        <f>0.025*A12*12</f>
        <v>768.51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550</v>
      </c>
      <c r="B22" s="136"/>
      <c r="C22" s="136"/>
      <c r="D22" s="20"/>
      <c r="E22" s="25">
        <f>0.01*A12*12</f>
        <v>307.404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551</v>
      </c>
      <c r="B23" s="136"/>
      <c r="C23" s="136"/>
      <c r="D23" s="137"/>
      <c r="E23" s="26">
        <f>0.13*A12*12</f>
        <v>3996.2520000000004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53084.998799999994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552</v>
      </c>
      <c r="B25" s="136"/>
      <c r="C25" s="136"/>
      <c r="D25" s="20"/>
      <c r="E25" s="25">
        <f>118*1.5*101.01</f>
        <v>17878.77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553</v>
      </c>
      <c r="B26" s="136"/>
      <c r="C26" s="136"/>
      <c r="D26" s="20"/>
      <c r="E26" s="25">
        <f>118*1.5*38.06</f>
        <v>6736.620000000001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554</v>
      </c>
      <c r="B27" s="136"/>
      <c r="C27" s="136"/>
      <c r="D27" s="20"/>
      <c r="E27" s="26">
        <f>4800*2.89</f>
        <v>13872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555</v>
      </c>
      <c r="B28" s="136"/>
      <c r="C28" s="136"/>
      <c r="D28" s="20"/>
      <c r="E28" s="25">
        <f>0.002*A12*12</f>
        <v>61.4808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556</v>
      </c>
      <c r="B29" s="136"/>
      <c r="C29" s="136"/>
      <c r="D29" s="20"/>
      <c r="E29" s="25">
        <f>0.32*A12*12</f>
        <v>9836.928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557</v>
      </c>
      <c r="B30" s="136"/>
      <c r="C30" s="136"/>
      <c r="D30" s="20"/>
      <c r="E30" s="26">
        <f>60*6.08+60*18.06*4</f>
        <v>4699.2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328</v>
      </c>
      <c r="B31" s="28" t="s">
        <v>327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107570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558</v>
      </c>
      <c r="D33" s="29"/>
      <c r="E33" s="18">
        <f>0.78*A12*12</f>
        <v>23977.512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2" t="s">
        <v>490</v>
      </c>
      <c r="B34" s="143"/>
      <c r="C34" s="143"/>
      <c r="D34" s="29" t="s">
        <v>559</v>
      </c>
      <c r="E34" s="18">
        <f>2.04*A12*12</f>
        <v>62710.416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560</v>
      </c>
      <c r="D35" s="37"/>
      <c r="E35" s="8">
        <f>0.003*A12*12</f>
        <v>92.2212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323572.133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19414.32798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8" t="s">
        <v>561</v>
      </c>
      <c r="B38" s="149"/>
      <c r="C38" s="117"/>
      <c r="D38" s="29"/>
      <c r="E38" s="19">
        <f>A12*11.27*12*0.01</f>
        <v>3464.4430799999996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346450.90406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/>
      <c r="E40" s="103">
        <f>E39/A12/12</f>
        <v>11.270214573004905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15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296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3">
    <mergeCell ref="A34:C34"/>
    <mergeCell ref="A36:C36"/>
    <mergeCell ref="A37:C37"/>
    <mergeCell ref="A39:C39"/>
    <mergeCell ref="A38:B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38" sqref="A38: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5">
      <c r="C3" s="54" t="s">
        <v>278</v>
      </c>
      <c r="D3" s="69"/>
      <c r="E3" s="69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485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2644</v>
      </c>
      <c r="B12" s="58">
        <v>235.6</v>
      </c>
      <c r="C12" s="58">
        <v>1533.7</v>
      </c>
      <c r="D12" s="58"/>
      <c r="E12" s="58">
        <v>1186.1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486</v>
      </c>
      <c r="C14" s="134" t="s">
        <v>487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488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84358.836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213</v>
      </c>
      <c r="B20" s="122"/>
      <c r="C20" s="122"/>
      <c r="D20" s="43"/>
      <c r="E20" s="44">
        <f>0.54*5800*1.75*1.203*12</f>
        <v>79123.716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214</v>
      </c>
      <c r="B21" s="136"/>
      <c r="C21" s="136"/>
      <c r="D21" s="20"/>
      <c r="E21" s="25">
        <f>0.025*A12*12</f>
        <v>793.2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215</v>
      </c>
      <c r="B22" s="136"/>
      <c r="C22" s="136"/>
      <c r="D22" s="20"/>
      <c r="E22" s="25">
        <f>0.01*A12*12</f>
        <v>317.28000000000003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216</v>
      </c>
      <c r="B23" s="136"/>
      <c r="C23" s="136"/>
      <c r="D23" s="137"/>
      <c r="E23" s="26">
        <f>0.13*A12*12</f>
        <v>4124.64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49268.311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217</v>
      </c>
      <c r="B25" s="136"/>
      <c r="C25" s="136"/>
      <c r="D25" s="20"/>
      <c r="E25" s="25">
        <f>123*1.5*101.01</f>
        <v>18636.345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218</v>
      </c>
      <c r="B26" s="136"/>
      <c r="C26" s="136"/>
      <c r="D26" s="20"/>
      <c r="E26" s="25">
        <f>123*1.5*38.06</f>
        <v>7022.070000000001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219</v>
      </c>
      <c r="B27" s="136"/>
      <c r="C27" s="136"/>
      <c r="D27" s="20"/>
      <c r="E27" s="26">
        <f>2900*2.89</f>
        <v>8381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489</v>
      </c>
      <c r="B28" s="136"/>
      <c r="C28" s="136"/>
      <c r="D28" s="20"/>
      <c r="E28" s="25">
        <f>0.002*A12*12</f>
        <v>63.456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220</v>
      </c>
      <c r="B29" s="136"/>
      <c r="C29" s="136"/>
      <c r="D29" s="20"/>
      <c r="E29" s="25">
        <f>0.32*A12*12</f>
        <v>10152.960000000001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570</v>
      </c>
      <c r="B30" s="136"/>
      <c r="C30" s="136"/>
      <c r="D30" s="20"/>
      <c r="E30" s="26">
        <f>64*6.08+64*18.06*4</f>
        <v>5012.48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328</v>
      </c>
      <c r="B31" s="28" t="s">
        <v>327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110760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221</v>
      </c>
      <c r="D33" s="29"/>
      <c r="E33" s="18">
        <f>0.78*A12*12</f>
        <v>24747.840000000004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2" t="s">
        <v>490</v>
      </c>
      <c r="B34" s="143"/>
      <c r="C34" s="143"/>
      <c r="D34" s="29" t="s">
        <v>222</v>
      </c>
      <c r="E34" s="18">
        <f>2.04*A12*12</f>
        <v>64725.12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18" t="s">
        <v>314</v>
      </c>
      <c r="B35" s="36"/>
      <c r="C35" s="36" t="s">
        <v>491</v>
      </c>
      <c r="D35" s="37"/>
      <c r="E35" s="8">
        <f>0.003*A12*12</f>
        <v>95.184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73" t="s">
        <v>315</v>
      </c>
      <c r="B36" s="174"/>
      <c r="C36" s="174"/>
      <c r="D36" s="29"/>
      <c r="E36" s="8">
        <f>E35+E34+E33+E32+E24+E18</f>
        <v>333955.291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75" t="s">
        <v>385</v>
      </c>
      <c r="B37" s="176"/>
      <c r="C37" s="176"/>
      <c r="D37" s="29"/>
      <c r="E37" s="19">
        <f>E36*0.06</f>
        <v>20037.317460000002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77" t="s">
        <v>561</v>
      </c>
      <c r="B38" s="178"/>
      <c r="C38" s="119"/>
      <c r="D38" s="91"/>
      <c r="E38" s="19">
        <f>A12*11.27*12*0.01</f>
        <v>3575.7455999999993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0" t="s">
        <v>316</v>
      </c>
      <c r="B39" s="141"/>
      <c r="C39" s="141"/>
      <c r="D39" s="29"/>
      <c r="E39" s="8">
        <f>SUM(E36:E38)</f>
        <v>357568.35406000004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/>
      <c r="E40" s="103">
        <f>E39/A12/12</f>
        <v>11.269804401790218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15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296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3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4:C34"/>
    <mergeCell ref="A36:C36"/>
    <mergeCell ref="A37:C37"/>
    <mergeCell ref="A39:C39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9" sqref="A39:E39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341</v>
      </c>
      <c r="D2" s="54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330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2351.2</v>
      </c>
      <c r="B12" s="58">
        <v>237.2</v>
      </c>
      <c r="C12" s="58">
        <v>763.9</v>
      </c>
      <c r="D12" s="58"/>
      <c r="E12" s="58">
        <v>1123.3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331</v>
      </c>
      <c r="C14" s="134" t="s">
        <v>333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332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47147.742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223</v>
      </c>
      <c r="B20" s="122"/>
      <c r="C20" s="122"/>
      <c r="D20" s="43"/>
      <c r="E20" s="44">
        <f>0.29*5800*1.75*1.203*12</f>
        <v>42492.365999999995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230</v>
      </c>
      <c r="B21" s="136"/>
      <c r="C21" s="136"/>
      <c r="D21" s="20"/>
      <c r="E21" s="25">
        <f>0.025*A12*12</f>
        <v>705.36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231</v>
      </c>
      <c r="B22" s="136"/>
      <c r="C22" s="136"/>
      <c r="D22" s="20"/>
      <c r="E22" s="25">
        <f>0.01*A12*12</f>
        <v>282.14399999999995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229</v>
      </c>
      <c r="B23" s="136"/>
      <c r="C23" s="136"/>
      <c r="D23" s="137"/>
      <c r="E23" s="26">
        <f>0.13*A12*12</f>
        <v>3667.8720000000003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E25+E26+E27+E28+E30+E31+E32+E29</f>
        <v>43364.8488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224</v>
      </c>
      <c r="B25" s="136"/>
      <c r="C25" s="136"/>
      <c r="D25" s="20"/>
      <c r="E25" s="25">
        <f>104*1.5*101.01</f>
        <v>15757.560000000001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225</v>
      </c>
      <c r="B26" s="136"/>
      <c r="C26" s="136"/>
      <c r="D26" s="20"/>
      <c r="E26" s="25">
        <f>104*1.5*38.06</f>
        <v>5937.360000000001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226</v>
      </c>
      <c r="B27" s="136"/>
      <c r="C27" s="136"/>
      <c r="D27" s="20"/>
      <c r="E27" s="26">
        <f>3100*2.89</f>
        <v>8959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326</v>
      </c>
      <c r="B28" s="136"/>
      <c r="C28" s="136"/>
      <c r="D28" s="20"/>
      <c r="E28" s="25">
        <f>0.002*A12*12</f>
        <v>56.428799999999995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227</v>
      </c>
      <c r="B29" s="136"/>
      <c r="C29" s="136"/>
      <c r="D29" s="20"/>
      <c r="E29" s="25">
        <f>1.61*832</f>
        <v>1339.52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334</v>
      </c>
      <c r="B30" s="136"/>
      <c r="C30" s="136"/>
      <c r="D30" s="20"/>
      <c r="E30" s="25">
        <v>8182.18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35" t="s">
        <v>210</v>
      </c>
      <c r="B31" s="136"/>
      <c r="C31" s="136"/>
      <c r="D31" s="20"/>
      <c r="E31" s="26">
        <f>40*6.08+40*18.06*4</f>
        <v>3132.7999999999997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328</v>
      </c>
      <c r="B32" s="28" t="s">
        <v>327</v>
      </c>
      <c r="C32" s="28"/>
      <c r="D32" s="20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0" t="s">
        <v>311</v>
      </c>
      <c r="B33" s="141"/>
      <c r="C33" s="141"/>
      <c r="D33" s="29"/>
      <c r="E33" s="8">
        <v>126810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324</v>
      </c>
      <c r="B34" s="53"/>
      <c r="C34" s="53" t="s">
        <v>228</v>
      </c>
      <c r="D34" s="29"/>
      <c r="E34" s="18">
        <f>0.78*A12*12</f>
        <v>22007.232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42" t="s">
        <v>329</v>
      </c>
      <c r="B35" s="143"/>
      <c r="C35" s="143"/>
      <c r="D35" s="29" t="s">
        <v>232</v>
      </c>
      <c r="E35" s="18">
        <f>2.04*A12*12</f>
        <v>57557.37599999999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314</v>
      </c>
      <c r="B36" s="36"/>
      <c r="C36" s="36" t="s">
        <v>335</v>
      </c>
      <c r="D36" s="37"/>
      <c r="E36" s="8">
        <f>0.003*A12*12</f>
        <v>84.6432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4" t="s">
        <v>315</v>
      </c>
      <c r="B37" s="145"/>
      <c r="C37" s="145"/>
      <c r="D37" s="29"/>
      <c r="E37" s="8">
        <f>E36+E35+E34+E33+E24+E18</f>
        <v>296971.842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6" t="s">
        <v>385</v>
      </c>
      <c r="B38" s="147"/>
      <c r="C38" s="147"/>
      <c r="D38" s="29"/>
      <c r="E38" s="19">
        <f>E37*0.06</f>
        <v>17818.31052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77" t="s">
        <v>561</v>
      </c>
      <c r="B39" s="178"/>
      <c r="C39" s="119"/>
      <c r="D39" s="91"/>
      <c r="E39" s="19">
        <f>A12*11.27*12*0.01</f>
        <v>3179.7628799999993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44" t="s">
        <v>316</v>
      </c>
      <c r="B40" s="145"/>
      <c r="C40" s="145"/>
      <c r="D40" s="29"/>
      <c r="E40" s="8">
        <f>SUM(E37:E39)</f>
        <v>317969.9154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7" t="s">
        <v>307</v>
      </c>
      <c r="B41" s="38"/>
      <c r="C41" s="39"/>
      <c r="D41" s="8"/>
      <c r="E41" s="103">
        <f>E40/A12/12</f>
        <v>11.269774136611092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3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296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4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6:C26"/>
    <mergeCell ref="A27:C27"/>
    <mergeCell ref="A28:C28"/>
    <mergeCell ref="A29:C29"/>
    <mergeCell ref="A38:C38"/>
    <mergeCell ref="A40:C40"/>
    <mergeCell ref="A35:C35"/>
    <mergeCell ref="A33:C33"/>
    <mergeCell ref="A37:C37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0" sqref="A40:E40"/>
    </sheetView>
  </sheetViews>
  <sheetFormatPr defaultColWidth="9.00390625" defaultRowHeight="12.75"/>
  <cols>
    <col min="1" max="1" width="18.00390625" style="69" customWidth="1"/>
    <col min="2" max="2" width="18.375" style="69" customWidth="1"/>
    <col min="3" max="3" width="16.00390625" style="69" customWidth="1"/>
    <col min="4" max="4" width="15.125" style="69" customWidth="1"/>
    <col min="5" max="5" width="13.625" style="69" customWidth="1"/>
    <col min="6" max="16384" width="9.125" style="69" customWidth="1"/>
  </cols>
  <sheetData>
    <row r="1" ht="12.75">
      <c r="C1" s="69" t="s">
        <v>310</v>
      </c>
    </row>
    <row r="2" ht="12.75">
      <c r="C2" s="69" t="s">
        <v>408</v>
      </c>
    </row>
    <row r="3" spans="1:5" ht="15">
      <c r="A3"/>
      <c r="B3"/>
      <c r="C3" s="54" t="s">
        <v>278</v>
      </c>
      <c r="D3" s="54"/>
      <c r="E3"/>
    </row>
    <row r="4" spans="1:5" ht="12.75">
      <c r="A4"/>
      <c r="B4"/>
      <c r="C4"/>
      <c r="D4"/>
      <c r="E4"/>
    </row>
    <row r="5" spans="1:5" ht="12.75">
      <c r="A5"/>
      <c r="B5"/>
      <c r="C5"/>
      <c r="D5"/>
      <c r="E5"/>
    </row>
    <row r="6" spans="1:5" ht="15.75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5">
      <c r="A8" s="94" t="s">
        <v>504</v>
      </c>
      <c r="B8" s="51"/>
      <c r="C8" s="51"/>
      <c r="D8" s="51"/>
      <c r="E8" s="51"/>
    </row>
    <row r="9" spans="1:5" ht="15">
      <c r="A9" s="94"/>
      <c r="B9" s="51"/>
      <c r="C9" s="51"/>
      <c r="D9" s="51"/>
      <c r="E9" s="51"/>
    </row>
    <row r="10" spans="1:5" ht="12.75">
      <c r="A10" s="150" t="s">
        <v>299</v>
      </c>
      <c r="B10" s="181"/>
      <c r="C10" s="181"/>
      <c r="D10" s="181"/>
      <c r="E10" s="182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7.25" customHeight="1">
      <c r="A12" s="72">
        <v>3186.2</v>
      </c>
      <c r="B12" s="73">
        <v>487.7</v>
      </c>
      <c r="C12" s="73">
        <v>1044</v>
      </c>
      <c r="D12" s="73"/>
      <c r="E12" s="73">
        <v>2004</v>
      </c>
    </row>
    <row r="13" spans="1:5" ht="12.75">
      <c r="A13" s="4"/>
      <c r="B13" s="51"/>
      <c r="C13" s="51"/>
      <c r="D13" s="51"/>
      <c r="E13" s="51"/>
    </row>
    <row r="14" spans="1:5" ht="12.75">
      <c r="A14" s="153" t="s">
        <v>304</v>
      </c>
      <c r="B14" s="9" t="s">
        <v>505</v>
      </c>
      <c r="C14" s="134" t="s">
        <v>506</v>
      </c>
      <c r="D14" s="21"/>
      <c r="E14" s="51"/>
    </row>
    <row r="15" spans="1:5" ht="12.75">
      <c r="A15" s="154"/>
      <c r="B15" s="9" t="s">
        <v>507</v>
      </c>
      <c r="C15" s="123"/>
      <c r="D15" s="104"/>
      <c r="E15" s="51"/>
    </row>
    <row r="16" spans="1:5" ht="12.75">
      <c r="A16" s="105"/>
      <c r="B16" s="65"/>
      <c r="C16" s="21"/>
      <c r="D16" s="104"/>
      <c r="E16" s="51"/>
    </row>
    <row r="17" spans="1:5" ht="12.75">
      <c r="A17" s="4"/>
      <c r="B17" s="51"/>
      <c r="C17" s="51"/>
      <c r="D17" s="51"/>
      <c r="E17" s="51"/>
    </row>
    <row r="18" spans="1:5" ht="12.75">
      <c r="A18" s="155" t="s">
        <v>293</v>
      </c>
      <c r="B18" s="156"/>
      <c r="C18" s="156"/>
      <c r="D18" s="46"/>
      <c r="E18" s="75" t="s">
        <v>297</v>
      </c>
    </row>
    <row r="19" spans="1:5" ht="12.75">
      <c r="A19" s="76" t="s">
        <v>294</v>
      </c>
      <c r="B19" s="77"/>
      <c r="C19" s="77"/>
      <c r="D19" s="78"/>
      <c r="E19" s="79">
        <f>E21+E22+E23+E24</f>
        <v>57006.464400000004</v>
      </c>
    </row>
    <row r="20" spans="1:5" ht="12.75">
      <c r="A20" s="179" t="s">
        <v>305</v>
      </c>
      <c r="B20" s="180"/>
      <c r="C20" s="180"/>
      <c r="D20" s="106"/>
      <c r="E20" s="107"/>
    </row>
    <row r="21" spans="1:5" ht="12.75">
      <c r="A21" s="159" t="s">
        <v>233</v>
      </c>
      <c r="B21" s="160"/>
      <c r="C21" s="160"/>
      <c r="D21" s="108"/>
      <c r="E21" s="44">
        <f>0.346*5800*1.75*1.203*12</f>
        <v>50697.788400000005</v>
      </c>
    </row>
    <row r="22" spans="1:5" ht="12.75" customHeight="1">
      <c r="A22" s="135" t="s">
        <v>234</v>
      </c>
      <c r="B22" s="136"/>
      <c r="C22" s="136"/>
      <c r="D22" s="20"/>
      <c r="E22" s="25">
        <f>0.025*A12*12</f>
        <v>955.86</v>
      </c>
    </row>
    <row r="23" spans="1:5" ht="12.75" customHeight="1">
      <c r="A23" s="135" t="s">
        <v>235</v>
      </c>
      <c r="B23" s="136"/>
      <c r="C23" s="136"/>
      <c r="D23" s="20"/>
      <c r="E23" s="25">
        <f>0.01*A12*12</f>
        <v>382.344</v>
      </c>
    </row>
    <row r="24" spans="1:5" ht="12.75" customHeight="1">
      <c r="A24" s="135" t="s">
        <v>236</v>
      </c>
      <c r="B24" s="136"/>
      <c r="C24" s="136"/>
      <c r="D24" s="137"/>
      <c r="E24" s="26">
        <f>0.13*A12*12</f>
        <v>4970.472</v>
      </c>
    </row>
    <row r="25" spans="1:5" ht="12.75">
      <c r="A25" s="161" t="s">
        <v>295</v>
      </c>
      <c r="B25" s="162"/>
      <c r="C25" s="162"/>
      <c r="D25" s="107"/>
      <c r="E25" s="18">
        <f>E26+E27+E28+E29+E31+E32+E33+E30</f>
        <v>83554.95180000001</v>
      </c>
    </row>
    <row r="26" spans="1:5" ht="12.75">
      <c r="A26" s="163" t="s">
        <v>237</v>
      </c>
      <c r="B26" s="164"/>
      <c r="C26" s="164"/>
      <c r="D26" s="107"/>
      <c r="E26" s="25">
        <f>95*1.5*101.01</f>
        <v>14393.925000000001</v>
      </c>
    </row>
    <row r="27" spans="1:5" ht="12.75">
      <c r="A27" s="163" t="s">
        <v>238</v>
      </c>
      <c r="B27" s="164"/>
      <c r="C27" s="164"/>
      <c r="D27" s="107"/>
      <c r="E27" s="25">
        <f>95*1.5*38.06</f>
        <v>5423.55</v>
      </c>
    </row>
    <row r="28" spans="1:5" ht="12.75">
      <c r="A28" s="163" t="s">
        <v>239</v>
      </c>
      <c r="B28" s="164"/>
      <c r="C28" s="164"/>
      <c r="D28" s="107"/>
      <c r="E28" s="26">
        <f>17100*2.89</f>
        <v>49419</v>
      </c>
    </row>
    <row r="29" spans="1:5" ht="12.75">
      <c r="A29" s="163" t="s">
        <v>508</v>
      </c>
      <c r="B29" s="164"/>
      <c r="C29" s="164"/>
      <c r="D29" s="107"/>
      <c r="E29" s="25">
        <f>0.002*A12*12</f>
        <v>76.4688</v>
      </c>
    </row>
    <row r="30" spans="1:5" ht="12.75">
      <c r="A30" s="135" t="s">
        <v>240</v>
      </c>
      <c r="B30" s="136"/>
      <c r="C30" s="136"/>
      <c r="D30" s="107"/>
      <c r="E30" s="25">
        <f>1.61*1020</f>
        <v>1642.2</v>
      </c>
    </row>
    <row r="31" spans="1:5" ht="12.75">
      <c r="A31" s="163" t="s">
        <v>241</v>
      </c>
      <c r="B31" s="164"/>
      <c r="C31" s="164"/>
      <c r="D31" s="107"/>
      <c r="E31" s="25">
        <f>0.32*A12*12</f>
        <v>12235.008</v>
      </c>
    </row>
    <row r="32" spans="1:5" ht="12.75">
      <c r="A32" s="163" t="s">
        <v>581</v>
      </c>
      <c r="B32" s="164"/>
      <c r="C32" s="164"/>
      <c r="D32" s="107"/>
      <c r="E32" s="26">
        <f>60*6.08</f>
        <v>364.8</v>
      </c>
    </row>
    <row r="33" spans="1:5" ht="16.5" customHeight="1">
      <c r="A33" s="83" t="s">
        <v>328</v>
      </c>
      <c r="B33" s="84"/>
      <c r="C33" s="84"/>
      <c r="D33" s="107"/>
      <c r="E33" s="5"/>
    </row>
    <row r="34" spans="1:5" ht="16.5" customHeight="1">
      <c r="A34" s="140" t="s">
        <v>311</v>
      </c>
      <c r="B34" s="141"/>
      <c r="C34" s="141"/>
      <c r="D34" s="95"/>
      <c r="E34" s="96">
        <v>153950</v>
      </c>
    </row>
    <row r="35" spans="1:5" ht="12.75" customHeight="1">
      <c r="A35" s="30" t="s">
        <v>312</v>
      </c>
      <c r="B35" s="167" t="s">
        <v>242</v>
      </c>
      <c r="C35" s="167"/>
      <c r="D35" s="29"/>
      <c r="E35" s="8">
        <f>0.78*A12*12</f>
        <v>29822.832</v>
      </c>
    </row>
    <row r="36" spans="1:5" ht="12.75">
      <c r="A36" s="31" t="s">
        <v>313</v>
      </c>
      <c r="B36" s="32"/>
      <c r="C36" s="33" t="s">
        <v>243</v>
      </c>
      <c r="D36" s="34"/>
      <c r="E36" s="18">
        <f>2.04*A12*12</f>
        <v>77998.176</v>
      </c>
    </row>
    <row r="37" spans="1:5" ht="12.75">
      <c r="A37" s="88" t="s">
        <v>314</v>
      </c>
      <c r="B37" s="109"/>
      <c r="C37" s="109" t="s">
        <v>509</v>
      </c>
      <c r="D37" s="110"/>
      <c r="E37" s="8">
        <f>0.003*A12*12</f>
        <v>114.70320000000001</v>
      </c>
    </row>
    <row r="38" spans="1:5" ht="12.75">
      <c r="A38" s="165" t="s">
        <v>315</v>
      </c>
      <c r="B38" s="166"/>
      <c r="C38" s="166"/>
      <c r="D38" s="111"/>
      <c r="E38" s="8">
        <f>E37+E36+E35+E25+E19+E34</f>
        <v>402447.1274</v>
      </c>
    </row>
    <row r="39" spans="1:5" ht="12.75" customHeight="1">
      <c r="A39" s="146" t="s">
        <v>385</v>
      </c>
      <c r="B39" s="147"/>
      <c r="C39" s="147"/>
      <c r="D39" s="111"/>
      <c r="E39" s="19">
        <f>E38*0.06</f>
        <v>24146.827643999997</v>
      </c>
    </row>
    <row r="40" spans="1:5" ht="12.75" customHeight="1">
      <c r="A40" s="177" t="s">
        <v>561</v>
      </c>
      <c r="B40" s="178"/>
      <c r="C40" s="119"/>
      <c r="D40" s="91"/>
      <c r="E40" s="19">
        <f>A12*11.27*12*0.01</f>
        <v>4309.01688</v>
      </c>
    </row>
    <row r="41" spans="1:5" ht="12.75">
      <c r="A41" s="165" t="s">
        <v>316</v>
      </c>
      <c r="B41" s="166"/>
      <c r="C41" s="166"/>
      <c r="D41" s="111"/>
      <c r="E41" s="8">
        <f>SUM(E38:E40)</f>
        <v>430902.971924</v>
      </c>
    </row>
    <row r="42" spans="1:5" ht="12.75">
      <c r="A42" s="92" t="s">
        <v>307</v>
      </c>
      <c r="B42" s="38"/>
      <c r="C42" s="39"/>
      <c r="D42" s="8"/>
      <c r="E42" s="103">
        <f>E41/A12/12</f>
        <v>11.270033580336033</v>
      </c>
    </row>
    <row r="43" spans="1:5" ht="12.75">
      <c r="A43" s="93"/>
      <c r="B43" s="11"/>
      <c r="C43" s="12"/>
      <c r="D43" s="12"/>
      <c r="E43" s="51"/>
    </row>
  </sheetData>
  <mergeCells count="24">
    <mergeCell ref="A39:C39"/>
    <mergeCell ref="A41:C41"/>
    <mergeCell ref="A34:C34"/>
    <mergeCell ref="B35:C35"/>
    <mergeCell ref="A38:C38"/>
    <mergeCell ref="A40:B40"/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  <mergeCell ref="A24:D24"/>
    <mergeCell ref="A25:C25"/>
    <mergeCell ref="A18:C18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E39" sqref="E39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2.75">
      <c r="C3" s="69" t="s">
        <v>278</v>
      </c>
      <c r="D3" s="69"/>
      <c r="E3" s="69"/>
    </row>
    <row r="6" spans="1:5" ht="22.5" customHeight="1">
      <c r="A6" s="170" t="s">
        <v>547</v>
      </c>
      <c r="B6" s="171"/>
      <c r="C6" s="171"/>
      <c r="D6" s="171"/>
      <c r="E6" s="171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296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409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129" t="s">
        <v>299</v>
      </c>
      <c r="B12" s="130"/>
      <c r="C12" s="130"/>
      <c r="D12" s="130"/>
      <c r="E12" s="131"/>
      <c r="F12" s="24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7" t="s">
        <v>300</v>
      </c>
      <c r="B13" s="17" t="s">
        <v>301</v>
      </c>
      <c r="C13" s="17" t="s">
        <v>302</v>
      </c>
      <c r="D13" s="17" t="s">
        <v>303</v>
      </c>
      <c r="E13" s="17" t="s">
        <v>298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50">
        <v>310.2</v>
      </c>
      <c r="B14" s="6"/>
      <c r="C14" s="6"/>
      <c r="D14" s="6"/>
      <c r="E14" s="6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68"/>
      <c r="B16" s="65"/>
      <c r="C16" s="6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24" t="s">
        <v>293</v>
      </c>
      <c r="B18" s="125"/>
      <c r="C18" s="125"/>
      <c r="D18" s="46"/>
      <c r="E18" s="47" t="s">
        <v>297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294</v>
      </c>
      <c r="B19" s="41"/>
      <c r="C19" s="41"/>
      <c r="D19" s="42"/>
      <c r="E19" s="23">
        <f>E21+E22+E23+E24</f>
        <v>1493.3484000000003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6" t="s">
        <v>410</v>
      </c>
      <c r="B20" s="120"/>
      <c r="C20" s="120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21" t="s">
        <v>595</v>
      </c>
      <c r="B21" s="122"/>
      <c r="C21" s="122"/>
      <c r="D21" s="43"/>
      <c r="E21" s="44">
        <f>0.006*5800*1.75*1.203*12</f>
        <v>879.1524000000002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244</v>
      </c>
      <c r="B22" s="136"/>
      <c r="C22" s="136"/>
      <c r="D22" s="20"/>
      <c r="E22" s="25">
        <f>0.025*A14*12</f>
        <v>93.06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245</v>
      </c>
      <c r="B23" s="136"/>
      <c r="C23" s="136"/>
      <c r="D23" s="20"/>
      <c r="E23" s="25">
        <f>0.01*A14*12</f>
        <v>37.224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35" t="s">
        <v>246</v>
      </c>
      <c r="B24" s="136"/>
      <c r="C24" s="136"/>
      <c r="D24" s="137"/>
      <c r="E24" s="26">
        <f>0.13*A14*12</f>
        <v>483.91200000000003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8" t="s">
        <v>295</v>
      </c>
      <c r="B25" s="139"/>
      <c r="C25" s="139"/>
      <c r="D25" s="20"/>
      <c r="E25" s="18">
        <f>E26+E27+E28+E29+E30+E31</f>
        <v>3940.8978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247</v>
      </c>
      <c r="B26" s="136"/>
      <c r="C26" s="136"/>
      <c r="D26" s="20"/>
      <c r="E26" s="25">
        <f>9*1.5*101.01</f>
        <v>1363.635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63" t="s">
        <v>248</v>
      </c>
      <c r="B27" s="164"/>
      <c r="C27" s="164"/>
      <c r="D27" s="20"/>
      <c r="E27" s="25">
        <f>9*1.5*38.06</f>
        <v>513.8100000000001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411</v>
      </c>
      <c r="B28" s="136"/>
      <c r="C28" s="136"/>
      <c r="D28" s="20"/>
      <c r="E28" s="25">
        <f>0.002*A14*12</f>
        <v>7.444799999999999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249</v>
      </c>
      <c r="B29" s="136"/>
      <c r="C29" s="136"/>
      <c r="D29" s="20"/>
      <c r="E29" s="25">
        <f>0.32*A14*12</f>
        <v>1191.168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603</v>
      </c>
      <c r="B30" s="136"/>
      <c r="C30" s="136"/>
      <c r="D30" s="20"/>
      <c r="E30" s="67">
        <f>6*6.08+(6*18.06)</f>
        <v>144.83999999999997</v>
      </c>
      <c r="F30" s="66"/>
      <c r="G30" s="66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308</v>
      </c>
      <c r="B31" s="28" t="s">
        <v>418</v>
      </c>
      <c r="C31" s="28"/>
      <c r="D31" s="20"/>
      <c r="E31" s="5">
        <f>6*120</f>
        <v>720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14550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30" t="s">
        <v>312</v>
      </c>
      <c r="B33" s="167" t="s">
        <v>250</v>
      </c>
      <c r="C33" s="167"/>
      <c r="D33" s="29"/>
      <c r="E33" s="18">
        <f>0.78*A14*12</f>
        <v>2903.4719999999998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31" t="s">
        <v>313</v>
      </c>
      <c r="B34" s="32"/>
      <c r="C34" s="33" t="s">
        <v>251</v>
      </c>
      <c r="D34" s="34"/>
      <c r="E34" s="18">
        <f>2.04*A14*12</f>
        <v>7593.696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412</v>
      </c>
      <c r="D35" s="37"/>
      <c r="E35" s="18">
        <f>0.003*A14*12</f>
        <v>11.1672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E35+E34+E33+E32+E25+E19</f>
        <v>30492.5814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1829.554884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77" t="s">
        <v>561</v>
      </c>
      <c r="B38" s="178"/>
      <c r="C38" s="119"/>
      <c r="D38" s="91"/>
      <c r="E38" s="19">
        <f>A14*8.77*12*0.01</f>
        <v>326.45448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306</v>
      </c>
      <c r="B39" s="145"/>
      <c r="C39" s="145"/>
      <c r="D39" s="29"/>
      <c r="E39" s="8">
        <f>SUM(E36:E38)</f>
        <v>32648.590764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/>
      <c r="E40" s="55">
        <f>E39/A14/12</f>
        <v>8.77084428433269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6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6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2"/>
      <c r="D43" s="12"/>
      <c r="E43" s="6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>
      <c r="A44" s="10"/>
      <c r="B44" s="11"/>
      <c r="C44" s="64"/>
      <c r="D44" s="1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"/>
      <c r="B45" s="11"/>
      <c r="C45" s="13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0"/>
      <c r="B46" s="11"/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4"/>
      <c r="C47" s="15"/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6"/>
      <c r="B48" s="14"/>
      <c r="C48" s="15"/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 t="s">
        <v>296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20">
    <mergeCell ref="A6:E6"/>
    <mergeCell ref="A12:E12"/>
    <mergeCell ref="A18:C18"/>
    <mergeCell ref="A20:C20"/>
    <mergeCell ref="A21:C21"/>
    <mergeCell ref="A22:C22"/>
    <mergeCell ref="A23:C23"/>
    <mergeCell ref="A24:D24"/>
    <mergeCell ref="A29:C29"/>
    <mergeCell ref="A30:C30"/>
    <mergeCell ref="A32:C32"/>
    <mergeCell ref="A25:C25"/>
    <mergeCell ref="A26:C26"/>
    <mergeCell ref="A27:C27"/>
    <mergeCell ref="A28:C28"/>
    <mergeCell ref="B33:C33"/>
    <mergeCell ref="A36:C36"/>
    <mergeCell ref="A37:C37"/>
    <mergeCell ref="A39:C39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4">
      <selection activeCell="E39" sqref="E39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2.75">
      <c r="C3" s="69" t="s">
        <v>278</v>
      </c>
      <c r="D3" s="69"/>
      <c r="E3" s="69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413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636.6</v>
      </c>
      <c r="B12" s="58"/>
      <c r="C12" s="58">
        <v>443.5</v>
      </c>
      <c r="D12" s="58"/>
      <c r="E12" s="58">
        <v>362.5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414</v>
      </c>
      <c r="C14" s="134" t="s">
        <v>415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416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24118.430399999997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616</v>
      </c>
      <c r="B20" s="122"/>
      <c r="C20" s="122"/>
      <c r="D20" s="43"/>
      <c r="E20" s="44">
        <f>0.156*5800*1.75*1.203*12</f>
        <v>22857.962399999997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617</v>
      </c>
      <c r="B21" s="136"/>
      <c r="C21" s="136"/>
      <c r="D21" s="20"/>
      <c r="E21" s="25">
        <f>0.025*A12*12</f>
        <v>190.98000000000002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618</v>
      </c>
      <c r="B22" s="136"/>
      <c r="C22" s="136"/>
      <c r="D22" s="20"/>
      <c r="E22" s="25">
        <f>0.01*A12*12</f>
        <v>76.39200000000001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619</v>
      </c>
      <c r="B23" s="136"/>
      <c r="C23" s="136"/>
      <c r="D23" s="137"/>
      <c r="E23" s="26">
        <f>0.13*A12*12</f>
        <v>993.0960000000001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E25+E26+E27+E28+E30+E31+E32+E29</f>
        <v>11067.4164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620</v>
      </c>
      <c r="B25" s="136"/>
      <c r="C25" s="136"/>
      <c r="D25" s="20"/>
      <c r="E25" s="25">
        <f>23*1.5*101.01</f>
        <v>3484.8450000000003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63" t="s">
        <v>621</v>
      </c>
      <c r="B26" s="164"/>
      <c r="C26" s="164"/>
      <c r="D26" s="20"/>
      <c r="E26" s="25">
        <f>23*1.5*38.06</f>
        <v>1313.0700000000002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622</v>
      </c>
      <c r="B27" s="136"/>
      <c r="C27" s="136"/>
      <c r="D27" s="20"/>
      <c r="E27" s="26">
        <f>800*2.89</f>
        <v>2312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417</v>
      </c>
      <c r="B28" s="136"/>
      <c r="C28" s="136"/>
      <c r="D28" s="20"/>
      <c r="E28" s="25">
        <f>0.002*A12*12</f>
        <v>15.278400000000001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623</v>
      </c>
      <c r="B29" s="136"/>
      <c r="C29" s="136"/>
      <c r="D29" s="20"/>
      <c r="E29" s="25">
        <f>1.61*151.9</f>
        <v>244.55900000000003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624</v>
      </c>
      <c r="B30" s="136"/>
      <c r="C30" s="136"/>
      <c r="D30" s="20"/>
      <c r="E30" s="25">
        <f>0.32*A12*12</f>
        <v>2444.5440000000003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35" t="s">
        <v>625</v>
      </c>
      <c r="B31" s="136"/>
      <c r="C31" s="136"/>
      <c r="D31" s="20"/>
      <c r="E31" s="26">
        <f>16*6.08+16*18.06*4</f>
        <v>1253.12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328</v>
      </c>
      <c r="B32" s="28"/>
      <c r="C32" s="28"/>
      <c r="D32" s="20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0" t="s">
        <v>311</v>
      </c>
      <c r="B33" s="141"/>
      <c r="C33" s="141"/>
      <c r="D33" s="29"/>
      <c r="E33" s="8">
        <v>23660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324</v>
      </c>
      <c r="B34" s="53"/>
      <c r="C34" s="53" t="s">
        <v>626</v>
      </c>
      <c r="D34" s="29"/>
      <c r="E34" s="18">
        <f>0.78*A12*12</f>
        <v>5958.576000000001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42" t="s">
        <v>283</v>
      </c>
      <c r="B35" s="143"/>
      <c r="C35" s="143"/>
      <c r="D35" s="29" t="s">
        <v>627</v>
      </c>
      <c r="E35" s="18">
        <f>2.04*A12*12</f>
        <v>15583.968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284</v>
      </c>
      <c r="B36" s="36"/>
      <c r="C36" s="36" t="s">
        <v>285</v>
      </c>
      <c r="D36" s="37"/>
      <c r="E36" s="8">
        <v>22.61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4" t="s">
        <v>315</v>
      </c>
      <c r="B37" s="145"/>
      <c r="C37" s="145"/>
      <c r="D37" s="29"/>
      <c r="E37" s="8">
        <f>E36+E35+E34+E33+E24+E18</f>
        <v>80411.00080000001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6" t="s">
        <v>385</v>
      </c>
      <c r="B38" s="147"/>
      <c r="C38" s="147"/>
      <c r="D38" s="29"/>
      <c r="E38" s="19">
        <f>E37*0.06</f>
        <v>4824.660048000001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77" t="s">
        <v>561</v>
      </c>
      <c r="B39" s="178"/>
      <c r="C39" s="119"/>
      <c r="D39" s="91"/>
      <c r="E39" s="19">
        <f>A12*11.27*12*0.01</f>
        <v>860.93784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44" t="s">
        <v>316</v>
      </c>
      <c r="B40" s="145"/>
      <c r="C40" s="145"/>
      <c r="D40" s="29"/>
      <c r="E40" s="8">
        <f>SUM(E37:E39)</f>
        <v>86096.59868800001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7" t="s">
        <v>307</v>
      </c>
      <c r="B41" s="38"/>
      <c r="C41" s="39"/>
      <c r="D41" s="8"/>
      <c r="E41" s="103">
        <f>E40/A12/12</f>
        <v>11.270368453241177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3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296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24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6:C26"/>
    <mergeCell ref="A27:C27"/>
    <mergeCell ref="A28:C28"/>
    <mergeCell ref="A29:C29"/>
    <mergeCell ref="A40:C40"/>
    <mergeCell ref="A33:C33"/>
    <mergeCell ref="A35:C35"/>
    <mergeCell ref="A37:C37"/>
    <mergeCell ref="A38:C38"/>
    <mergeCell ref="A39:B3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7">
      <selection activeCell="A39" sqref="A39:E39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341</v>
      </c>
      <c r="D2" s="54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639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628.1</v>
      </c>
      <c r="B12" s="58">
        <v>47.6</v>
      </c>
      <c r="C12" s="58">
        <v>355</v>
      </c>
      <c r="D12" s="58"/>
      <c r="E12" s="58">
        <v>320.5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279</v>
      </c>
      <c r="C14" s="134" t="s">
        <v>281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280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19559.313000000002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628</v>
      </c>
      <c r="B20" s="122"/>
      <c r="C20" s="122"/>
      <c r="D20" s="43"/>
      <c r="E20" s="44">
        <f>0.125*5800*1.75*1.203*12</f>
        <v>18315.675000000003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629</v>
      </c>
      <c r="B21" s="136"/>
      <c r="C21" s="136"/>
      <c r="D21" s="20"/>
      <c r="E21" s="25">
        <f>0.025*A12*12</f>
        <v>188.43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630</v>
      </c>
      <c r="B22" s="136"/>
      <c r="C22" s="136"/>
      <c r="D22" s="20"/>
      <c r="E22" s="25">
        <f>0.01*A12*12</f>
        <v>75.37200000000001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631</v>
      </c>
      <c r="B23" s="136"/>
      <c r="C23" s="136"/>
      <c r="D23" s="137"/>
      <c r="E23" s="26">
        <f>0.13*A12*12</f>
        <v>979.836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E25+E26+E27+E28+E30+E31+E32+E29</f>
        <v>16532.611399999998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633</v>
      </c>
      <c r="B25" s="136"/>
      <c r="C25" s="136"/>
      <c r="D25" s="20"/>
      <c r="E25" s="25">
        <f>34*1.5*101.01</f>
        <v>5151.51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63" t="s">
        <v>632</v>
      </c>
      <c r="B26" s="164"/>
      <c r="C26" s="164"/>
      <c r="D26" s="20"/>
      <c r="E26" s="25">
        <f>34*1.5*38.06</f>
        <v>1941.0600000000002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634</v>
      </c>
      <c r="B27" s="136"/>
      <c r="C27" s="136"/>
      <c r="D27" s="20"/>
      <c r="E27" s="26">
        <f>1750*2.89</f>
        <v>5057.5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282</v>
      </c>
      <c r="B28" s="136"/>
      <c r="C28" s="136"/>
      <c r="D28" s="20"/>
      <c r="E28" s="25">
        <f>0.002*A12*12</f>
        <v>15.0744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635</v>
      </c>
      <c r="B29" s="136"/>
      <c r="C29" s="136"/>
      <c r="D29" s="20"/>
      <c r="E29" s="25">
        <f>1.61*436.3</f>
        <v>702.4430000000001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636</v>
      </c>
      <c r="B30" s="136"/>
      <c r="C30" s="136"/>
      <c r="D30" s="20"/>
      <c r="E30" s="25">
        <f>0.32*A12*12</f>
        <v>2411.9040000000005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35" t="s">
        <v>625</v>
      </c>
      <c r="B31" s="136"/>
      <c r="C31" s="136"/>
      <c r="D31" s="20"/>
      <c r="E31" s="26">
        <f>16*6.08+16*18.06*4</f>
        <v>1253.12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328</v>
      </c>
      <c r="B32" s="28"/>
      <c r="C32" s="28"/>
      <c r="D32" s="20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0" t="s">
        <v>311</v>
      </c>
      <c r="B33" s="141"/>
      <c r="C33" s="141"/>
      <c r="D33" s="29"/>
      <c r="E33" s="8">
        <v>21965.48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324</v>
      </c>
      <c r="B34" s="53"/>
      <c r="C34" s="53" t="s">
        <v>637</v>
      </c>
      <c r="D34" s="29"/>
      <c r="E34" s="18">
        <f>0.78*A12*12</f>
        <v>5879.016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42" t="s">
        <v>283</v>
      </c>
      <c r="B35" s="143"/>
      <c r="C35" s="143"/>
      <c r="D35" s="29" t="s">
        <v>638</v>
      </c>
      <c r="E35" s="18">
        <f>2.04*A12*12</f>
        <v>15375.888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284</v>
      </c>
      <c r="B36" s="36"/>
      <c r="C36" s="36" t="s">
        <v>285</v>
      </c>
      <c r="D36" s="37"/>
      <c r="E36" s="8">
        <f>0.003*A12*12</f>
        <v>22.611600000000003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4" t="s">
        <v>315</v>
      </c>
      <c r="B37" s="145"/>
      <c r="C37" s="145"/>
      <c r="D37" s="29"/>
      <c r="E37" s="8">
        <f>E36+E35+E34+E33+E24+E18</f>
        <v>79334.91999999998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6" t="s">
        <v>385</v>
      </c>
      <c r="B38" s="147"/>
      <c r="C38" s="147"/>
      <c r="D38" s="29"/>
      <c r="E38" s="19">
        <f>E37*0.06</f>
        <v>4760.095199999999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77" t="s">
        <v>561</v>
      </c>
      <c r="B39" s="178"/>
      <c r="C39" s="117"/>
      <c r="D39" s="29"/>
      <c r="E39" s="19">
        <f>A12*11.27*12*0.01</f>
        <v>849.44244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44" t="s">
        <v>316</v>
      </c>
      <c r="B40" s="145"/>
      <c r="C40" s="145"/>
      <c r="D40" s="29"/>
      <c r="E40" s="8">
        <f>SUM(E37:E39)</f>
        <v>84944.45763999998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7" t="s">
        <v>307</v>
      </c>
      <c r="B41" s="38"/>
      <c r="C41" s="39"/>
      <c r="D41" s="8"/>
      <c r="E41" s="103">
        <f>E40/A12/12</f>
        <v>11.270028344743402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3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296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24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6:C26"/>
    <mergeCell ref="A27:C27"/>
    <mergeCell ref="A28:C28"/>
    <mergeCell ref="A29:C29"/>
    <mergeCell ref="A40:C40"/>
    <mergeCell ref="A33:C33"/>
    <mergeCell ref="A35:C35"/>
    <mergeCell ref="A37:C37"/>
    <mergeCell ref="A38:C38"/>
    <mergeCell ref="A39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4">
      <selection activeCell="A42" sqref="A42:E42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2.75">
      <c r="C3" s="69" t="s">
        <v>278</v>
      </c>
      <c r="D3" s="69"/>
      <c r="E3" s="69"/>
    </row>
    <row r="6" spans="1:5" ht="22.5" customHeight="1">
      <c r="A6" s="170" t="s">
        <v>547</v>
      </c>
      <c r="B6" s="171"/>
      <c r="C6" s="171"/>
      <c r="D6" s="171"/>
      <c r="E6" s="171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296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288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51" t="s">
        <v>287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 customHeight="1">
      <c r="A13" s="129" t="s">
        <v>299</v>
      </c>
      <c r="B13" s="130"/>
      <c r="C13" s="130"/>
      <c r="D13" s="130"/>
      <c r="E13" s="131"/>
      <c r="F13" s="24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7" t="s">
        <v>300</v>
      </c>
      <c r="B14" s="17" t="s">
        <v>301</v>
      </c>
      <c r="C14" s="17" t="s">
        <v>302</v>
      </c>
      <c r="D14" s="17" t="s">
        <v>303</v>
      </c>
      <c r="E14" s="17" t="s">
        <v>298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50">
        <v>288.5</v>
      </c>
      <c r="B15" s="6"/>
      <c r="C15" s="6">
        <v>304</v>
      </c>
      <c r="D15" s="6"/>
      <c r="E15" s="6">
        <v>761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4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 customHeight="1">
      <c r="A17" s="132" t="s">
        <v>304</v>
      </c>
      <c r="B17" s="49" t="s">
        <v>289</v>
      </c>
      <c r="C17" s="134" t="s">
        <v>281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72"/>
      <c r="B18" s="49" t="s">
        <v>290</v>
      </c>
      <c r="C18" s="17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68"/>
      <c r="B19" s="65"/>
      <c r="C19" s="6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>
      <c r="A21" s="124" t="s">
        <v>293</v>
      </c>
      <c r="B21" s="125"/>
      <c r="C21" s="125"/>
      <c r="D21" s="46"/>
      <c r="E21" s="47" t="s">
        <v>297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40" t="s">
        <v>294</v>
      </c>
      <c r="B22" s="41"/>
      <c r="C22" s="41"/>
      <c r="D22" s="42"/>
      <c r="E22" s="23">
        <f>E24+E25+E26+E27</f>
        <v>18886.905000000002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126" t="s">
        <v>305</v>
      </c>
      <c r="B23" s="120"/>
      <c r="C23" s="120"/>
      <c r="D23" s="45"/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1" t="s">
        <v>628</v>
      </c>
      <c r="B24" s="122"/>
      <c r="C24" s="122"/>
      <c r="D24" s="43"/>
      <c r="E24" s="44">
        <f>0.125*5800*1.75*1.203*12</f>
        <v>18315.675000000003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35" t="s">
        <v>640</v>
      </c>
      <c r="B25" s="136"/>
      <c r="C25" s="136"/>
      <c r="D25" s="20"/>
      <c r="E25" s="25">
        <f>0.025*A15*12</f>
        <v>86.55000000000001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35" t="s">
        <v>641</v>
      </c>
      <c r="B26" s="136"/>
      <c r="C26" s="136"/>
      <c r="D26" s="20"/>
      <c r="E26" s="25">
        <f>0.01*A15*12</f>
        <v>34.620000000000005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35" t="s">
        <v>642</v>
      </c>
      <c r="B27" s="136"/>
      <c r="C27" s="136"/>
      <c r="D27" s="137"/>
      <c r="E27" s="26">
        <f>0.13*A15*12</f>
        <v>450.06000000000006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8" t="s">
        <v>295</v>
      </c>
      <c r="B28" s="139"/>
      <c r="C28" s="139"/>
      <c r="D28" s="20"/>
      <c r="E28" s="18">
        <f>E29+E30+E31+E32+E33+E34+E35</f>
        <v>6219.769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247</v>
      </c>
      <c r="B29" s="136"/>
      <c r="C29" s="136"/>
      <c r="D29" s="20"/>
      <c r="E29" s="25">
        <f>9*1.5*101.01</f>
        <v>1363.635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63" t="s">
        <v>643</v>
      </c>
      <c r="B30" s="164"/>
      <c r="C30" s="164"/>
      <c r="D30" s="20"/>
      <c r="E30" s="25">
        <f>9*1.5*38.06</f>
        <v>513.8100000000001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35" t="s">
        <v>644</v>
      </c>
      <c r="B31" s="136"/>
      <c r="C31" s="136"/>
      <c r="D31" s="20"/>
      <c r="E31" s="26">
        <f>900*2.89</f>
        <v>2601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35" t="s">
        <v>291</v>
      </c>
      <c r="B32" s="136"/>
      <c r="C32" s="136"/>
      <c r="D32" s="20"/>
      <c r="E32" s="25">
        <f>0.002*A15*12</f>
        <v>6.9239999999999995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35" t="s">
        <v>645</v>
      </c>
      <c r="B33" s="136"/>
      <c r="C33" s="136"/>
      <c r="D33" s="20"/>
      <c r="E33" s="25">
        <f>0.32*A15*12</f>
        <v>1107.8400000000001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35" t="s">
        <v>646</v>
      </c>
      <c r="B34" s="136"/>
      <c r="C34" s="136"/>
      <c r="D34" s="20"/>
      <c r="E34" s="67">
        <f>8*6.08+(8*18.06*4)</f>
        <v>626.56</v>
      </c>
      <c r="F34" s="66"/>
      <c r="G34" s="66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27" t="s">
        <v>308</v>
      </c>
      <c r="B35" s="28"/>
      <c r="C35" s="28"/>
      <c r="D35" s="20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0" t="s">
        <v>311</v>
      </c>
      <c r="B36" s="141"/>
      <c r="C36" s="141"/>
      <c r="D36" s="29"/>
      <c r="E36" s="8">
        <v>1560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30" t="s">
        <v>312</v>
      </c>
      <c r="B37" s="167" t="s">
        <v>647</v>
      </c>
      <c r="C37" s="167"/>
      <c r="D37" s="29"/>
      <c r="E37" s="18">
        <f>0.78*A15*12</f>
        <v>2700.36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31" t="s">
        <v>313</v>
      </c>
      <c r="B38" s="32"/>
      <c r="C38" s="33" t="s">
        <v>648</v>
      </c>
      <c r="D38" s="34"/>
      <c r="E38" s="18">
        <f>2.04*A15*12</f>
        <v>7062.48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35" t="s">
        <v>314</v>
      </c>
      <c r="B39" s="36"/>
      <c r="C39" s="36" t="s">
        <v>292</v>
      </c>
      <c r="D39" s="37"/>
      <c r="E39" s="18">
        <f>0.003*A15*12</f>
        <v>10.386000000000001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44" t="s">
        <v>315</v>
      </c>
      <c r="B40" s="145"/>
      <c r="C40" s="145"/>
      <c r="D40" s="29"/>
      <c r="E40" s="8">
        <f>E39+E38+E37+E36+E28+E22</f>
        <v>36439.90000000001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46" t="s">
        <v>385</v>
      </c>
      <c r="B41" s="147"/>
      <c r="C41" s="147"/>
      <c r="D41" s="29"/>
      <c r="E41" s="19">
        <f>E40*0.06</f>
        <v>2186.3940000000002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177" t="s">
        <v>561</v>
      </c>
      <c r="B42" s="178"/>
      <c r="C42" s="117"/>
      <c r="D42" s="29"/>
      <c r="E42" s="19">
        <f>A15*11.27*12*0.01</f>
        <v>390.1674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44" t="s">
        <v>306</v>
      </c>
      <c r="B43" s="145"/>
      <c r="C43" s="145"/>
      <c r="D43" s="29"/>
      <c r="E43" s="8">
        <f>SUM(E40:E42)</f>
        <v>39016.46140000001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" t="s">
        <v>307</v>
      </c>
      <c r="B44" s="38"/>
      <c r="C44" s="39"/>
      <c r="D44" s="8"/>
      <c r="E44" s="103">
        <f>E43/A15/12</f>
        <v>11.269919526285387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"/>
      <c r="B45" s="11"/>
      <c r="C45" s="12"/>
      <c r="D45" s="12"/>
      <c r="E45" s="6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0"/>
      <c r="B46" s="11"/>
      <c r="C46" s="12"/>
      <c r="D46" s="12"/>
      <c r="E46" s="62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0"/>
      <c r="B47" s="11"/>
      <c r="C47" s="12"/>
      <c r="D47" s="12"/>
      <c r="E47" s="62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 customHeight="1">
      <c r="A48" s="10"/>
      <c r="B48" s="11"/>
      <c r="C48" s="64"/>
      <c r="D48" s="1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0"/>
      <c r="B49" s="11"/>
      <c r="C49" s="13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0"/>
      <c r="B50" s="11"/>
      <c r="C50" s="13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4"/>
      <c r="C51" s="15"/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6"/>
      <c r="B52" s="14"/>
      <c r="C52" s="15"/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 t="s">
        <v>296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23">
    <mergeCell ref="A6:E6"/>
    <mergeCell ref="A13:E13"/>
    <mergeCell ref="A17:A18"/>
    <mergeCell ref="C17:C18"/>
    <mergeCell ref="A21:C21"/>
    <mergeCell ref="A23:C23"/>
    <mergeCell ref="A24:C24"/>
    <mergeCell ref="A25:C25"/>
    <mergeCell ref="A26:C26"/>
    <mergeCell ref="A27:D27"/>
    <mergeCell ref="A28:C28"/>
    <mergeCell ref="A29:C29"/>
    <mergeCell ref="A34:C34"/>
    <mergeCell ref="A36:C36"/>
    <mergeCell ref="A30:C30"/>
    <mergeCell ref="A31:C31"/>
    <mergeCell ref="A32:C32"/>
    <mergeCell ref="A33:C33"/>
    <mergeCell ref="B37:C37"/>
    <mergeCell ref="A40:C40"/>
    <mergeCell ref="A41:C41"/>
    <mergeCell ref="A43:C43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41" sqref="A41:E41"/>
    </sheetView>
  </sheetViews>
  <sheetFormatPr defaultColWidth="9.00390625" defaultRowHeight="12.75"/>
  <cols>
    <col min="1" max="1" width="18.00390625" style="69" customWidth="1"/>
    <col min="2" max="2" width="18.375" style="69" customWidth="1"/>
    <col min="3" max="3" width="17.00390625" style="69" customWidth="1"/>
    <col min="4" max="4" width="16.625" style="69" customWidth="1"/>
    <col min="5" max="5" width="13.625" style="69" customWidth="1"/>
    <col min="6" max="16384" width="9.125" style="69" customWidth="1"/>
  </cols>
  <sheetData>
    <row r="1" ht="12.75">
      <c r="C1" s="69" t="s">
        <v>310</v>
      </c>
    </row>
    <row r="2" ht="12.75">
      <c r="C2" s="69" t="s">
        <v>408</v>
      </c>
    </row>
    <row r="3" ht="12.75">
      <c r="C3" s="69" t="s">
        <v>278</v>
      </c>
    </row>
    <row r="6" spans="1:5" ht="15.75">
      <c r="A6" s="127" t="s">
        <v>547</v>
      </c>
      <c r="B6" s="128"/>
      <c r="C6" s="128"/>
      <c r="D6" s="128"/>
      <c r="E6" s="128"/>
    </row>
    <row r="7" spans="1:5" ht="12.75">
      <c r="A7" s="71" t="s">
        <v>296</v>
      </c>
      <c r="B7" s="71"/>
      <c r="C7" s="51"/>
      <c r="D7" s="51"/>
      <c r="E7" s="51"/>
    </row>
    <row r="8" spans="1:5" ht="14.25">
      <c r="A8" s="3" t="s">
        <v>463</v>
      </c>
      <c r="B8" s="51"/>
      <c r="C8" s="51"/>
      <c r="D8" s="51"/>
      <c r="E8" s="51"/>
    </row>
    <row r="9" spans="1:5" ht="15">
      <c r="A9" s="94"/>
      <c r="B9" s="51"/>
      <c r="C9" s="51"/>
      <c r="D9" s="51"/>
      <c r="E9" s="51"/>
    </row>
    <row r="10" spans="1:5" ht="12.75">
      <c r="A10" s="150" t="s">
        <v>299</v>
      </c>
      <c r="B10" s="181"/>
      <c r="C10" s="181"/>
      <c r="D10" s="181"/>
      <c r="E10" s="182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7.25" customHeight="1">
      <c r="A12" s="72">
        <v>9711.5</v>
      </c>
      <c r="B12" s="73">
        <v>1037.6</v>
      </c>
      <c r="C12" s="73">
        <v>1600</v>
      </c>
      <c r="D12" s="73"/>
      <c r="E12" s="73">
        <v>3000</v>
      </c>
    </row>
    <row r="13" spans="1:5" ht="12.75">
      <c r="A13" s="4"/>
      <c r="B13" s="51"/>
      <c r="C13" s="51"/>
      <c r="D13" s="51"/>
      <c r="E13" s="51"/>
    </row>
    <row r="14" spans="1:5" ht="12.75">
      <c r="A14" s="153" t="s">
        <v>304</v>
      </c>
      <c r="B14" s="9" t="s">
        <v>464</v>
      </c>
      <c r="C14" s="134" t="s">
        <v>465</v>
      </c>
      <c r="D14" s="21"/>
      <c r="E14" s="51"/>
    </row>
    <row r="15" spans="1:5" ht="12.75">
      <c r="A15" s="154"/>
      <c r="B15" s="9" t="s">
        <v>338</v>
      </c>
      <c r="C15" s="123"/>
      <c r="D15" s="104"/>
      <c r="E15" s="51"/>
    </row>
    <row r="16" spans="1:5" ht="14.25">
      <c r="A16" s="112"/>
      <c r="B16" s="65"/>
      <c r="C16" s="51"/>
      <c r="D16" s="51"/>
      <c r="E16" s="51"/>
    </row>
    <row r="17" spans="1:5" ht="14.25">
      <c r="A17" s="112"/>
      <c r="B17" s="65"/>
      <c r="C17" s="51"/>
      <c r="D17" s="51"/>
      <c r="E17" s="51"/>
    </row>
    <row r="18" spans="1:5" ht="14.25">
      <c r="A18" s="113"/>
      <c r="B18" s="114"/>
      <c r="C18" s="51"/>
      <c r="D18" s="51"/>
      <c r="E18" s="51"/>
    </row>
    <row r="19" spans="1:5" ht="12.75">
      <c r="A19" s="155" t="s">
        <v>293</v>
      </c>
      <c r="B19" s="156"/>
      <c r="C19" s="156"/>
      <c r="D19" s="46"/>
      <c r="E19" s="75" t="s">
        <v>297</v>
      </c>
    </row>
    <row r="20" spans="1:5" ht="12.75">
      <c r="A20" s="76" t="s">
        <v>294</v>
      </c>
      <c r="B20" s="77"/>
      <c r="C20" s="77"/>
      <c r="D20" s="78"/>
      <c r="E20" s="79">
        <f>E22+E23+E24+E25</f>
        <v>113005.026</v>
      </c>
    </row>
    <row r="21" spans="1:5" ht="12.75">
      <c r="A21" s="179" t="s">
        <v>305</v>
      </c>
      <c r="B21" s="180"/>
      <c r="C21" s="180"/>
      <c r="D21" s="106"/>
      <c r="E21" s="107"/>
    </row>
    <row r="22" spans="1:5" ht="12.75">
      <c r="A22" s="159" t="s">
        <v>649</v>
      </c>
      <c r="B22" s="160"/>
      <c r="C22" s="160"/>
      <c r="D22" s="108"/>
      <c r="E22" s="44">
        <f>0.64*5800*1.75*1.203*12</f>
        <v>93776.256</v>
      </c>
    </row>
    <row r="23" spans="1:5" ht="12.75" customHeight="1">
      <c r="A23" s="135" t="s">
        <v>650</v>
      </c>
      <c r="B23" s="136"/>
      <c r="C23" s="136"/>
      <c r="D23" s="20"/>
      <c r="E23" s="25">
        <f>0.025*A12*12</f>
        <v>2913.4500000000003</v>
      </c>
    </row>
    <row r="24" spans="1:5" ht="12.75" customHeight="1">
      <c r="A24" s="135" t="s">
        <v>133</v>
      </c>
      <c r="B24" s="136"/>
      <c r="C24" s="136"/>
      <c r="D24" s="20"/>
      <c r="E24" s="25">
        <f>0.01*A12*12</f>
        <v>1165.38</v>
      </c>
    </row>
    <row r="25" spans="1:5" ht="12.75" customHeight="1">
      <c r="A25" s="135" t="s">
        <v>466</v>
      </c>
      <c r="B25" s="136"/>
      <c r="C25" s="136"/>
      <c r="D25" s="137"/>
      <c r="E25" s="26">
        <f>0.13*A12*12</f>
        <v>15149.940000000002</v>
      </c>
    </row>
    <row r="26" spans="1:5" ht="12.75">
      <c r="A26" s="161" t="s">
        <v>295</v>
      </c>
      <c r="B26" s="162"/>
      <c r="C26" s="162"/>
      <c r="D26" s="107"/>
      <c r="E26" s="18">
        <f>E27+E28+E29+E30+E32+E33+E34+E31</f>
        <v>217729.076</v>
      </c>
    </row>
    <row r="27" spans="1:5" ht="12.75">
      <c r="A27" s="163" t="s">
        <v>134</v>
      </c>
      <c r="B27" s="164"/>
      <c r="C27" s="164"/>
      <c r="D27" s="107"/>
      <c r="E27" s="25">
        <f>454*1.5*101.01</f>
        <v>68787.81</v>
      </c>
    </row>
    <row r="28" spans="1:5" ht="12.75">
      <c r="A28" s="163" t="s">
        <v>135</v>
      </c>
      <c r="B28" s="164"/>
      <c r="C28" s="164"/>
      <c r="D28" s="107"/>
      <c r="E28" s="25">
        <f>454*1.5*38.06</f>
        <v>25918.86</v>
      </c>
    </row>
    <row r="29" spans="1:5" ht="12.75">
      <c r="A29" s="163" t="s">
        <v>136</v>
      </c>
      <c r="B29" s="164"/>
      <c r="C29" s="164"/>
      <c r="D29" s="107"/>
      <c r="E29" s="26">
        <f>27600*2.89</f>
        <v>79764</v>
      </c>
    </row>
    <row r="30" spans="1:5" ht="12.75">
      <c r="A30" s="163" t="s">
        <v>467</v>
      </c>
      <c r="B30" s="164"/>
      <c r="C30" s="164"/>
      <c r="D30" s="107"/>
      <c r="E30" s="25">
        <f>0.002*A12*12</f>
        <v>233.07600000000002</v>
      </c>
    </row>
    <row r="31" spans="1:5" ht="12.75">
      <c r="A31" s="135" t="s">
        <v>137</v>
      </c>
      <c r="B31" s="136"/>
      <c r="C31" s="136"/>
      <c r="D31" s="107"/>
      <c r="E31" s="25">
        <f>1.61*2885</f>
        <v>4644.85</v>
      </c>
    </row>
    <row r="32" spans="1:5" ht="12.75">
      <c r="A32" s="163" t="s">
        <v>138</v>
      </c>
      <c r="B32" s="164"/>
      <c r="C32" s="164"/>
      <c r="D32" s="107"/>
      <c r="E32" s="25">
        <f>0.32*A12*12</f>
        <v>37292.16</v>
      </c>
    </row>
    <row r="33" spans="1:5" ht="12.75">
      <c r="A33" s="163" t="s">
        <v>468</v>
      </c>
      <c r="B33" s="164"/>
      <c r="C33" s="164"/>
      <c r="D33" s="107"/>
      <c r="E33" s="26">
        <f>179*6.08</f>
        <v>1088.32</v>
      </c>
    </row>
    <row r="34" spans="1:5" ht="12" customHeight="1">
      <c r="A34" s="83" t="s">
        <v>328</v>
      </c>
      <c r="B34" s="84"/>
      <c r="C34" s="84"/>
      <c r="D34" s="107"/>
      <c r="E34" s="5"/>
    </row>
    <row r="35" spans="1:5" ht="12.75" customHeight="1">
      <c r="A35" s="140" t="s">
        <v>311</v>
      </c>
      <c r="B35" s="141"/>
      <c r="C35" s="141"/>
      <c r="D35" s="95"/>
      <c r="E35" s="96">
        <v>566900</v>
      </c>
    </row>
    <row r="36" spans="1:5" ht="12.75" customHeight="1">
      <c r="A36" s="30" t="s">
        <v>312</v>
      </c>
      <c r="B36" s="167" t="s">
        <v>139</v>
      </c>
      <c r="C36" s="167"/>
      <c r="D36" s="29"/>
      <c r="E36" s="8">
        <f>0.78*A12*12</f>
        <v>90899.64</v>
      </c>
    </row>
    <row r="37" spans="1:5" ht="12.75">
      <c r="A37" s="31" t="s">
        <v>313</v>
      </c>
      <c r="B37" s="32"/>
      <c r="C37" s="33" t="s">
        <v>140</v>
      </c>
      <c r="D37" s="34"/>
      <c r="E37" s="18">
        <f>2.04*A12*12</f>
        <v>237737.52</v>
      </c>
    </row>
    <row r="38" spans="1:5" ht="12.75">
      <c r="A38" s="88" t="s">
        <v>314</v>
      </c>
      <c r="B38" s="109"/>
      <c r="C38" s="109" t="s">
        <v>469</v>
      </c>
      <c r="D38" s="110"/>
      <c r="E38" s="8">
        <f>0.003*A12*12</f>
        <v>349.614</v>
      </c>
    </row>
    <row r="39" spans="1:5" ht="12.75">
      <c r="A39" s="165" t="s">
        <v>315</v>
      </c>
      <c r="B39" s="166"/>
      <c r="C39" s="166"/>
      <c r="D39" s="111"/>
      <c r="E39" s="8">
        <f>E38+E37+E36+E26+E20+E35</f>
        <v>1226620.876</v>
      </c>
    </row>
    <row r="40" spans="1:5" ht="12.75" customHeight="1">
      <c r="A40" s="146" t="s">
        <v>385</v>
      </c>
      <c r="B40" s="147"/>
      <c r="C40" s="147"/>
      <c r="D40" s="111"/>
      <c r="E40" s="19">
        <f>E39*0.06</f>
        <v>73597.25256</v>
      </c>
    </row>
    <row r="41" spans="1:5" ht="12.75" customHeight="1">
      <c r="A41" s="177" t="s">
        <v>561</v>
      </c>
      <c r="B41" s="178"/>
      <c r="C41" s="117"/>
      <c r="D41" s="29"/>
      <c r="E41" s="19">
        <f>A12*11.27*12*0.01</f>
        <v>13133.8326</v>
      </c>
    </row>
    <row r="42" spans="1:5" ht="12.75">
      <c r="A42" s="165" t="s">
        <v>316</v>
      </c>
      <c r="B42" s="166"/>
      <c r="C42" s="166"/>
      <c r="D42" s="111"/>
      <c r="E42" s="8">
        <f>SUM(E39:E41)</f>
        <v>1313351.96116</v>
      </c>
    </row>
    <row r="43" spans="1:5" ht="12.75">
      <c r="A43" s="92" t="s">
        <v>307</v>
      </c>
      <c r="B43" s="38"/>
      <c r="C43" s="39"/>
      <c r="D43" s="8"/>
      <c r="E43" s="103">
        <f>E42/A12/12</f>
        <v>11.269731428032058</v>
      </c>
    </row>
    <row r="44" spans="1:5" ht="12.75">
      <c r="A44" s="93"/>
      <c r="B44" s="11"/>
      <c r="C44" s="12"/>
      <c r="D44" s="12"/>
      <c r="E44" s="51"/>
    </row>
  </sheetData>
  <mergeCells count="24">
    <mergeCell ref="A19:C19"/>
    <mergeCell ref="A21:C21"/>
    <mergeCell ref="A22:C22"/>
    <mergeCell ref="A6:E6"/>
    <mergeCell ref="A10:E10"/>
    <mergeCell ref="A14:A15"/>
    <mergeCell ref="C14:C15"/>
    <mergeCell ref="A23:C23"/>
    <mergeCell ref="A24:C24"/>
    <mergeCell ref="A25:D25"/>
    <mergeCell ref="A26:C26"/>
    <mergeCell ref="A31:C31"/>
    <mergeCell ref="A32:C32"/>
    <mergeCell ref="A33:C33"/>
    <mergeCell ref="A27:C27"/>
    <mergeCell ref="A28:C28"/>
    <mergeCell ref="A29:C29"/>
    <mergeCell ref="A30:C30"/>
    <mergeCell ref="A40:C40"/>
    <mergeCell ref="A42:C42"/>
    <mergeCell ref="A35:C35"/>
    <mergeCell ref="B36:C36"/>
    <mergeCell ref="A39:C39"/>
    <mergeCell ref="A41:B4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0" sqref="A40:E40"/>
    </sheetView>
  </sheetViews>
  <sheetFormatPr defaultColWidth="9.00390625" defaultRowHeight="12.75"/>
  <cols>
    <col min="1" max="1" width="18.00390625" style="69" customWidth="1"/>
    <col min="2" max="2" width="18.375" style="69" customWidth="1"/>
    <col min="3" max="3" width="17.00390625" style="69" customWidth="1"/>
    <col min="4" max="4" width="16.625" style="69" customWidth="1"/>
    <col min="5" max="5" width="13.625" style="69" customWidth="1"/>
    <col min="6" max="16384" width="9.125" style="69" customWidth="1"/>
  </cols>
  <sheetData>
    <row r="1" ht="12.75">
      <c r="C1" s="69" t="s">
        <v>310</v>
      </c>
    </row>
    <row r="2" ht="12.75">
      <c r="C2" s="69" t="s">
        <v>408</v>
      </c>
    </row>
    <row r="3" ht="12.75">
      <c r="C3" s="69" t="s">
        <v>278</v>
      </c>
    </row>
    <row r="6" spans="1:5" ht="15.75">
      <c r="A6" s="127" t="s">
        <v>547</v>
      </c>
      <c r="B6" s="128"/>
      <c r="C6" s="128"/>
      <c r="D6" s="128"/>
      <c r="E6" s="128"/>
    </row>
    <row r="7" spans="1:5" ht="12.75">
      <c r="A7" s="71" t="s">
        <v>296</v>
      </c>
      <c r="B7" s="71"/>
      <c r="C7" s="51"/>
      <c r="D7" s="51"/>
      <c r="E7" s="51"/>
    </row>
    <row r="8" spans="1:5" ht="14.25">
      <c r="A8" s="3" t="s">
        <v>451</v>
      </c>
      <c r="B8" s="51"/>
      <c r="C8" s="51"/>
      <c r="D8" s="51"/>
      <c r="E8" s="51"/>
    </row>
    <row r="9" spans="1:5" ht="15">
      <c r="A9" s="94"/>
      <c r="B9" s="51"/>
      <c r="C9" s="51"/>
      <c r="D9" s="51"/>
      <c r="E9" s="51"/>
    </row>
    <row r="10" spans="1:5" ht="12.75">
      <c r="A10" s="150" t="s">
        <v>299</v>
      </c>
      <c r="B10" s="181"/>
      <c r="C10" s="181"/>
      <c r="D10" s="181"/>
      <c r="E10" s="182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7.25" customHeight="1">
      <c r="A12" s="72">
        <v>1630.8</v>
      </c>
      <c r="B12" s="73">
        <v>154.2</v>
      </c>
      <c r="C12" s="73">
        <v>492</v>
      </c>
      <c r="D12" s="73"/>
      <c r="E12" s="73">
        <v>1093</v>
      </c>
    </row>
    <row r="13" spans="1:5" ht="12.75">
      <c r="A13" s="4"/>
      <c r="B13" s="51"/>
      <c r="C13" s="51"/>
      <c r="D13" s="51"/>
      <c r="E13" s="51"/>
    </row>
    <row r="14" spans="1:5" ht="12.75">
      <c r="A14" s="153" t="s">
        <v>304</v>
      </c>
      <c r="B14" s="9" t="s">
        <v>452</v>
      </c>
      <c r="C14" s="134" t="s">
        <v>453</v>
      </c>
      <c r="D14" s="21"/>
      <c r="E14" s="51"/>
    </row>
    <row r="15" spans="1:5" ht="12.75">
      <c r="A15" s="154"/>
      <c r="B15" s="9" t="s">
        <v>454</v>
      </c>
      <c r="C15" s="123"/>
      <c r="D15" s="104"/>
      <c r="E15" s="51"/>
    </row>
    <row r="16" spans="1:5" ht="12.75">
      <c r="A16" s="105"/>
      <c r="B16" s="65"/>
      <c r="C16" s="21"/>
      <c r="D16" s="104"/>
      <c r="E16" s="51"/>
    </row>
    <row r="17" spans="1:5" ht="12.75">
      <c r="A17" s="4"/>
      <c r="B17" s="51"/>
      <c r="C17" s="51"/>
      <c r="D17" s="51"/>
      <c r="E17" s="51"/>
    </row>
    <row r="18" spans="1:5" ht="12.75">
      <c r="A18" s="155" t="s">
        <v>293</v>
      </c>
      <c r="B18" s="156"/>
      <c r="C18" s="156"/>
      <c r="D18" s="46"/>
      <c r="E18" s="75" t="s">
        <v>297</v>
      </c>
    </row>
    <row r="19" spans="1:5" ht="12.75">
      <c r="A19" s="76" t="s">
        <v>294</v>
      </c>
      <c r="B19" s="77"/>
      <c r="C19" s="77"/>
      <c r="D19" s="78"/>
      <c r="E19" s="79">
        <f>E21+E22+E23+E24</f>
        <v>31947.9624</v>
      </c>
    </row>
    <row r="20" spans="1:5" ht="12.75">
      <c r="A20" s="179" t="s">
        <v>305</v>
      </c>
      <c r="B20" s="180"/>
      <c r="C20" s="180"/>
      <c r="D20" s="106"/>
      <c r="E20" s="107"/>
    </row>
    <row r="21" spans="1:5" ht="12.75">
      <c r="A21" s="159" t="s">
        <v>141</v>
      </c>
      <c r="B21" s="160"/>
      <c r="C21" s="160"/>
      <c r="D21" s="108"/>
      <c r="E21" s="44">
        <f>0.196*5800*1.75*1.203*12</f>
        <v>28718.9784</v>
      </c>
    </row>
    <row r="22" spans="1:5" ht="12.75" customHeight="1">
      <c r="A22" s="135" t="s">
        <v>142</v>
      </c>
      <c r="B22" s="136"/>
      <c r="C22" s="136"/>
      <c r="D22" s="20"/>
      <c r="E22" s="25">
        <f>0.025*A12*12</f>
        <v>489.24</v>
      </c>
    </row>
    <row r="23" spans="1:5" ht="12.75" customHeight="1">
      <c r="A23" s="135" t="s">
        <v>143</v>
      </c>
      <c r="B23" s="136"/>
      <c r="C23" s="136"/>
      <c r="D23" s="20"/>
      <c r="E23" s="25">
        <f>0.01*A12*12</f>
        <v>195.696</v>
      </c>
    </row>
    <row r="24" spans="1:5" ht="12.75" customHeight="1">
      <c r="A24" s="135" t="s">
        <v>144</v>
      </c>
      <c r="B24" s="136"/>
      <c r="C24" s="136"/>
      <c r="D24" s="137"/>
      <c r="E24" s="26">
        <f>0.13*A12*12</f>
        <v>2544.048</v>
      </c>
    </row>
    <row r="25" spans="1:5" ht="12.75">
      <c r="A25" s="161" t="s">
        <v>295</v>
      </c>
      <c r="B25" s="162"/>
      <c r="C25" s="162"/>
      <c r="D25" s="107"/>
      <c r="E25" s="18">
        <f>E26+E27+E28+E29+E31+E32+E33+E30</f>
        <v>45502.687199999986</v>
      </c>
    </row>
    <row r="26" spans="1:5" ht="12.75">
      <c r="A26" s="163" t="s">
        <v>145</v>
      </c>
      <c r="B26" s="164"/>
      <c r="C26" s="164"/>
      <c r="D26" s="107"/>
      <c r="E26" s="25">
        <f>60*1.5*101.01</f>
        <v>9090.9</v>
      </c>
    </row>
    <row r="27" spans="1:5" ht="12.75">
      <c r="A27" s="163" t="s">
        <v>146</v>
      </c>
      <c r="B27" s="164"/>
      <c r="C27" s="164"/>
      <c r="D27" s="107"/>
      <c r="E27" s="25">
        <f>61*1.5*35.02</f>
        <v>3204.3300000000004</v>
      </c>
    </row>
    <row r="28" spans="1:5" ht="12.75">
      <c r="A28" s="163" t="s">
        <v>147</v>
      </c>
      <c r="B28" s="164"/>
      <c r="C28" s="164"/>
      <c r="D28" s="107"/>
      <c r="E28" s="26">
        <f>9000*2.89</f>
        <v>26010</v>
      </c>
    </row>
    <row r="29" spans="1:5" ht="12.75">
      <c r="A29" s="163" t="s">
        <v>455</v>
      </c>
      <c r="B29" s="164"/>
      <c r="C29" s="164"/>
      <c r="D29" s="107"/>
      <c r="E29" s="25">
        <f>0.002*A12*12</f>
        <v>39.1392</v>
      </c>
    </row>
    <row r="30" spans="1:5" ht="12.75">
      <c r="A30" s="135" t="s">
        <v>148</v>
      </c>
      <c r="B30" s="136"/>
      <c r="C30" s="136"/>
      <c r="D30" s="107"/>
      <c r="E30" s="25">
        <f>1.61*420.6</f>
        <v>677.166</v>
      </c>
    </row>
    <row r="31" spans="1:5" ht="12.75">
      <c r="A31" s="163" t="s">
        <v>149</v>
      </c>
      <c r="B31" s="164"/>
      <c r="C31" s="164"/>
      <c r="D31" s="107"/>
      <c r="E31" s="25">
        <f>0.32*A12*12</f>
        <v>6262.272</v>
      </c>
    </row>
    <row r="32" spans="1:5" ht="12.75">
      <c r="A32" s="163" t="s">
        <v>150</v>
      </c>
      <c r="B32" s="164"/>
      <c r="C32" s="164"/>
      <c r="D32" s="107"/>
      <c r="E32" s="26">
        <f>36*6.08</f>
        <v>218.88</v>
      </c>
    </row>
    <row r="33" spans="1:5" ht="12" customHeight="1">
      <c r="A33" s="83" t="s">
        <v>328</v>
      </c>
      <c r="B33" s="84"/>
      <c r="C33" s="84"/>
      <c r="D33" s="107"/>
      <c r="E33" s="5"/>
    </row>
    <row r="34" spans="1:5" ht="12.75" customHeight="1">
      <c r="A34" s="140" t="s">
        <v>311</v>
      </c>
      <c r="B34" s="141"/>
      <c r="C34" s="141"/>
      <c r="D34" s="95"/>
      <c r="E34" s="96">
        <v>73280</v>
      </c>
    </row>
    <row r="35" spans="1:5" ht="12.75" customHeight="1">
      <c r="A35" s="30" t="s">
        <v>312</v>
      </c>
      <c r="B35" s="167" t="s">
        <v>151</v>
      </c>
      <c r="C35" s="167"/>
      <c r="D35" s="29"/>
      <c r="E35" s="8">
        <f>0.78*A12*12</f>
        <v>15264.288</v>
      </c>
    </row>
    <row r="36" spans="1:5" ht="12.75">
      <c r="A36" s="31" t="s">
        <v>313</v>
      </c>
      <c r="B36" s="32"/>
      <c r="C36" s="33" t="s">
        <v>152</v>
      </c>
      <c r="D36" s="34"/>
      <c r="E36" s="18">
        <f>2.04*A12*12</f>
        <v>39921.984</v>
      </c>
    </row>
    <row r="37" spans="1:5" ht="12.75">
      <c r="A37" s="88" t="s">
        <v>314</v>
      </c>
      <c r="B37" s="109"/>
      <c r="C37" s="109" t="s">
        <v>456</v>
      </c>
      <c r="D37" s="110"/>
      <c r="E37" s="8">
        <f>0.003*A12*12</f>
        <v>58.708800000000004</v>
      </c>
    </row>
    <row r="38" spans="1:5" ht="12.75">
      <c r="A38" s="165" t="s">
        <v>315</v>
      </c>
      <c r="B38" s="166"/>
      <c r="C38" s="166"/>
      <c r="D38" s="111"/>
      <c r="E38" s="8">
        <f>E37+E36+E35+E25+E19+E34</f>
        <v>205975.63039999997</v>
      </c>
    </row>
    <row r="39" spans="1:5" ht="12.75" customHeight="1">
      <c r="A39" s="146" t="s">
        <v>385</v>
      </c>
      <c r="B39" s="147"/>
      <c r="C39" s="147"/>
      <c r="D39" s="111"/>
      <c r="E39" s="19">
        <f>E38*0.06</f>
        <v>12358.537823999997</v>
      </c>
    </row>
    <row r="40" spans="1:5" ht="12.75" customHeight="1">
      <c r="A40" s="177" t="s">
        <v>561</v>
      </c>
      <c r="B40" s="178"/>
      <c r="C40" s="117"/>
      <c r="D40" s="29"/>
      <c r="E40" s="19">
        <f>A12*11.27*12*0.01</f>
        <v>2205.49392</v>
      </c>
    </row>
    <row r="41" spans="1:5" ht="12.75">
      <c r="A41" s="165" t="s">
        <v>316</v>
      </c>
      <c r="B41" s="166"/>
      <c r="C41" s="166"/>
      <c r="D41" s="111"/>
      <c r="E41" s="8">
        <f>SUM(E38:E40)</f>
        <v>220539.66214399997</v>
      </c>
    </row>
    <row r="42" spans="1:5" ht="12.75">
      <c r="A42" s="92" t="s">
        <v>307</v>
      </c>
      <c r="B42" s="38"/>
      <c r="C42" s="39"/>
      <c r="D42" s="8"/>
      <c r="E42" s="103">
        <f>E41/A12/12</f>
        <v>11.26950280761998</v>
      </c>
    </row>
    <row r="43" spans="1:5" ht="12.75">
      <c r="A43" s="93"/>
      <c r="B43" s="11"/>
      <c r="C43" s="12"/>
      <c r="D43" s="12"/>
      <c r="E43" s="51"/>
    </row>
  </sheetData>
  <mergeCells count="24">
    <mergeCell ref="A18:C18"/>
    <mergeCell ref="A20:C20"/>
    <mergeCell ref="A21:C21"/>
    <mergeCell ref="A6:E6"/>
    <mergeCell ref="A10:E10"/>
    <mergeCell ref="A14:A15"/>
    <mergeCell ref="C14:C15"/>
    <mergeCell ref="A22:C22"/>
    <mergeCell ref="A23:C23"/>
    <mergeCell ref="A24:D24"/>
    <mergeCell ref="A25:C25"/>
    <mergeCell ref="A30:C30"/>
    <mergeCell ref="A31:C31"/>
    <mergeCell ref="A32:C32"/>
    <mergeCell ref="A26:C26"/>
    <mergeCell ref="A27:C27"/>
    <mergeCell ref="A28:C28"/>
    <mergeCell ref="A29:C29"/>
    <mergeCell ref="A39:C39"/>
    <mergeCell ref="A41:C41"/>
    <mergeCell ref="A34:C34"/>
    <mergeCell ref="B35:C35"/>
    <mergeCell ref="A38:C38"/>
    <mergeCell ref="A40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0" sqref="A40:E40"/>
    </sheetView>
  </sheetViews>
  <sheetFormatPr defaultColWidth="9.00390625" defaultRowHeight="12.75"/>
  <cols>
    <col min="1" max="1" width="18.00390625" style="69" customWidth="1"/>
    <col min="2" max="2" width="18.375" style="69" customWidth="1"/>
    <col min="3" max="3" width="17.00390625" style="69" customWidth="1"/>
    <col min="4" max="4" width="16.625" style="69" customWidth="1"/>
    <col min="5" max="5" width="13.625" style="69" customWidth="1"/>
    <col min="6" max="16384" width="9.125" style="69" customWidth="1"/>
  </cols>
  <sheetData>
    <row r="1" ht="12.75">
      <c r="C1" s="69" t="s">
        <v>310</v>
      </c>
    </row>
    <row r="2" ht="12.75">
      <c r="C2" s="69" t="s">
        <v>408</v>
      </c>
    </row>
    <row r="3" ht="12.75">
      <c r="C3" s="69" t="s">
        <v>278</v>
      </c>
    </row>
    <row r="6" spans="1:5" ht="15.75">
      <c r="A6" s="127" t="s">
        <v>547</v>
      </c>
      <c r="B6" s="128"/>
      <c r="C6" s="128"/>
      <c r="D6" s="128"/>
      <c r="E6" s="128"/>
    </row>
    <row r="7" spans="1:5" ht="12.75">
      <c r="A7" s="71" t="s">
        <v>296</v>
      </c>
      <c r="B7" s="71"/>
      <c r="C7" s="51"/>
      <c r="D7" s="51"/>
      <c r="E7" s="51"/>
    </row>
    <row r="8" spans="1:5" ht="14.25">
      <c r="A8" s="3" t="s">
        <v>457</v>
      </c>
      <c r="B8" s="51"/>
      <c r="C8" s="51"/>
      <c r="D8" s="51"/>
      <c r="E8" s="51"/>
    </row>
    <row r="9" spans="1:5" ht="15">
      <c r="A9" s="94"/>
      <c r="B9" s="51"/>
      <c r="C9" s="51"/>
      <c r="D9" s="51"/>
      <c r="E9" s="51"/>
    </row>
    <row r="10" spans="1:5" ht="12.75">
      <c r="A10" s="150" t="s">
        <v>299</v>
      </c>
      <c r="B10" s="181"/>
      <c r="C10" s="181"/>
      <c r="D10" s="181"/>
      <c r="E10" s="182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7.25" customHeight="1">
      <c r="A12" s="72">
        <v>1606.1</v>
      </c>
      <c r="B12" s="73">
        <v>143.5</v>
      </c>
      <c r="C12" s="73">
        <v>650</v>
      </c>
      <c r="D12" s="73"/>
      <c r="E12" s="73">
        <v>570</v>
      </c>
    </row>
    <row r="13" spans="1:5" ht="12.75">
      <c r="A13" s="4"/>
      <c r="B13" s="51"/>
      <c r="C13" s="51"/>
      <c r="D13" s="51"/>
      <c r="E13" s="51"/>
    </row>
    <row r="14" spans="1:5" ht="12.75">
      <c r="A14" s="153" t="s">
        <v>304</v>
      </c>
      <c r="B14" s="9" t="s">
        <v>458</v>
      </c>
      <c r="C14" s="134" t="s">
        <v>459</v>
      </c>
      <c r="D14" s="21"/>
      <c r="E14" s="51"/>
    </row>
    <row r="15" spans="1:5" ht="12.75">
      <c r="A15" s="154"/>
      <c r="B15" s="9" t="s">
        <v>460</v>
      </c>
      <c r="C15" s="123"/>
      <c r="D15" s="104"/>
      <c r="E15" s="51"/>
    </row>
    <row r="16" spans="1:5" ht="12.75">
      <c r="A16" s="105"/>
      <c r="B16" s="65"/>
      <c r="C16" s="21"/>
      <c r="D16" s="104"/>
      <c r="E16" s="51"/>
    </row>
    <row r="17" spans="1:5" ht="12.75">
      <c r="A17" s="4"/>
      <c r="B17" s="51"/>
      <c r="C17" s="51"/>
      <c r="D17" s="51"/>
      <c r="E17" s="51"/>
    </row>
    <row r="18" spans="1:5" ht="12.75">
      <c r="A18" s="155" t="s">
        <v>293</v>
      </c>
      <c r="B18" s="156"/>
      <c r="C18" s="156"/>
      <c r="D18" s="46"/>
      <c r="E18" s="75" t="s">
        <v>297</v>
      </c>
    </row>
    <row r="19" spans="1:5" ht="12.75">
      <c r="A19" s="76" t="s">
        <v>294</v>
      </c>
      <c r="B19" s="77"/>
      <c r="C19" s="77"/>
      <c r="D19" s="78"/>
      <c r="E19" s="79">
        <f>E21+E22+E23+E24</f>
        <v>36734.39460000001</v>
      </c>
    </row>
    <row r="20" spans="1:5" ht="12.75">
      <c r="A20" s="179" t="s">
        <v>305</v>
      </c>
      <c r="B20" s="180"/>
      <c r="C20" s="180"/>
      <c r="D20" s="106"/>
      <c r="E20" s="107"/>
    </row>
    <row r="21" spans="1:5" ht="12.75">
      <c r="A21" s="159" t="s">
        <v>153</v>
      </c>
      <c r="B21" s="160"/>
      <c r="C21" s="160"/>
      <c r="D21" s="108"/>
      <c r="E21" s="44">
        <f>0.229*5800*1.75*1.203*12</f>
        <v>33554.3166</v>
      </c>
    </row>
    <row r="22" spans="1:5" ht="12.75" customHeight="1">
      <c r="A22" s="135" t="s">
        <v>154</v>
      </c>
      <c r="B22" s="136"/>
      <c r="C22" s="136"/>
      <c r="D22" s="20"/>
      <c r="E22" s="25">
        <f>0.025*A12*12</f>
        <v>481.83000000000004</v>
      </c>
    </row>
    <row r="23" spans="1:5" ht="12.75" customHeight="1">
      <c r="A23" s="135" t="s">
        <v>155</v>
      </c>
      <c r="B23" s="136"/>
      <c r="C23" s="136"/>
      <c r="D23" s="20"/>
      <c r="E23" s="25">
        <f>0.01*A12*12</f>
        <v>192.732</v>
      </c>
    </row>
    <row r="24" spans="1:5" ht="12.75" customHeight="1">
      <c r="A24" s="135" t="s">
        <v>156</v>
      </c>
      <c r="B24" s="136"/>
      <c r="C24" s="136"/>
      <c r="D24" s="137"/>
      <c r="E24" s="26">
        <f>0.13*A12*12</f>
        <v>2505.516</v>
      </c>
    </row>
    <row r="25" spans="1:5" ht="12.75">
      <c r="A25" s="161" t="s">
        <v>295</v>
      </c>
      <c r="B25" s="162"/>
      <c r="C25" s="162"/>
      <c r="D25" s="107"/>
      <c r="E25" s="18">
        <f>E26+E27+E28+E29+E31+E32+E33+E30</f>
        <v>31803.6894</v>
      </c>
    </row>
    <row r="26" spans="1:5" ht="12.75">
      <c r="A26" s="163" t="s">
        <v>157</v>
      </c>
      <c r="B26" s="164"/>
      <c r="C26" s="164"/>
      <c r="D26" s="107"/>
      <c r="E26" s="25">
        <f>77*1.5*101.01</f>
        <v>11666.655</v>
      </c>
    </row>
    <row r="27" spans="1:5" ht="12.75">
      <c r="A27" s="163" t="s">
        <v>158</v>
      </c>
      <c r="B27" s="164"/>
      <c r="C27" s="164"/>
      <c r="D27" s="107"/>
      <c r="E27" s="25">
        <f>77*1.5*38.06</f>
        <v>4395.93</v>
      </c>
    </row>
    <row r="28" spans="1:5" ht="12.75">
      <c r="A28" s="163" t="s">
        <v>159</v>
      </c>
      <c r="B28" s="164"/>
      <c r="C28" s="164"/>
      <c r="D28" s="107"/>
      <c r="E28" s="26">
        <f>3000*2.89</f>
        <v>8670</v>
      </c>
    </row>
    <row r="29" spans="1:5" ht="12.75">
      <c r="A29" s="163" t="s">
        <v>461</v>
      </c>
      <c r="B29" s="164"/>
      <c r="C29" s="164"/>
      <c r="D29" s="107"/>
      <c r="E29" s="25">
        <f>0.002*A12*12</f>
        <v>38.5464</v>
      </c>
    </row>
    <row r="30" spans="1:5" ht="12.75">
      <c r="A30" s="135" t="s">
        <v>160</v>
      </c>
      <c r="B30" s="136"/>
      <c r="C30" s="136"/>
      <c r="D30" s="107"/>
      <c r="E30" s="25">
        <f>1.61*401.4</f>
        <v>646.254</v>
      </c>
    </row>
    <row r="31" spans="1:5" ht="12.75">
      <c r="A31" s="163" t="s">
        <v>161</v>
      </c>
      <c r="B31" s="164"/>
      <c r="C31" s="164"/>
      <c r="D31" s="107"/>
      <c r="E31" s="25">
        <f>0.32*A12*12</f>
        <v>6167.424</v>
      </c>
    </row>
    <row r="32" spans="1:5" ht="12.75">
      <c r="A32" s="163" t="s">
        <v>150</v>
      </c>
      <c r="B32" s="164"/>
      <c r="C32" s="164"/>
      <c r="D32" s="107"/>
      <c r="E32" s="26">
        <f>36*6.08</f>
        <v>218.88</v>
      </c>
    </row>
    <row r="33" spans="1:5" ht="12" customHeight="1">
      <c r="A33" s="83" t="s">
        <v>328</v>
      </c>
      <c r="B33" s="84"/>
      <c r="C33" s="84"/>
      <c r="D33" s="107"/>
      <c r="E33" s="5"/>
    </row>
    <row r="34" spans="1:5" ht="12.75" customHeight="1">
      <c r="A34" s="140" t="s">
        <v>311</v>
      </c>
      <c r="B34" s="141"/>
      <c r="C34" s="141"/>
      <c r="D34" s="95"/>
      <c r="E34" s="96">
        <v>79910</v>
      </c>
    </row>
    <row r="35" spans="1:5" ht="12.75" customHeight="1">
      <c r="A35" s="30" t="s">
        <v>312</v>
      </c>
      <c r="B35" s="167" t="s">
        <v>162</v>
      </c>
      <c r="C35" s="167"/>
      <c r="D35" s="29"/>
      <c r="E35" s="8">
        <f>0.78*A12*12</f>
        <v>15033.096000000001</v>
      </c>
    </row>
    <row r="36" spans="1:5" ht="12.75">
      <c r="A36" s="31" t="s">
        <v>313</v>
      </c>
      <c r="B36" s="32"/>
      <c r="C36" s="33" t="s">
        <v>163</v>
      </c>
      <c r="D36" s="34"/>
      <c r="E36" s="18">
        <f>2.04*A12*12</f>
        <v>39317.328</v>
      </c>
    </row>
    <row r="37" spans="1:5" ht="12.75">
      <c r="A37" s="88" t="s">
        <v>314</v>
      </c>
      <c r="B37" s="109"/>
      <c r="C37" s="109" t="s">
        <v>462</v>
      </c>
      <c r="D37" s="110"/>
      <c r="E37" s="8">
        <f>0.003*A12*12</f>
        <v>57.819599999999994</v>
      </c>
    </row>
    <row r="38" spans="1:5" ht="12.75">
      <c r="A38" s="165" t="s">
        <v>315</v>
      </c>
      <c r="B38" s="166"/>
      <c r="C38" s="166"/>
      <c r="D38" s="111"/>
      <c r="E38" s="8">
        <f>E37+E36+E35+E25+E19+E34</f>
        <v>202856.32760000002</v>
      </c>
    </row>
    <row r="39" spans="1:5" ht="12.75" customHeight="1">
      <c r="A39" s="146" t="s">
        <v>385</v>
      </c>
      <c r="B39" s="147"/>
      <c r="C39" s="147"/>
      <c r="D39" s="111"/>
      <c r="E39" s="19">
        <f>E38*0.06</f>
        <v>12171.379656000001</v>
      </c>
    </row>
    <row r="40" spans="1:5" ht="12.75" customHeight="1">
      <c r="A40" s="177" t="s">
        <v>561</v>
      </c>
      <c r="B40" s="178"/>
      <c r="C40" s="117"/>
      <c r="D40" s="29"/>
      <c r="E40" s="19">
        <f>A12*11.27*12*0.01</f>
        <v>2172.0896399999997</v>
      </c>
    </row>
    <row r="41" spans="1:5" ht="12.75">
      <c r="A41" s="165" t="s">
        <v>316</v>
      </c>
      <c r="B41" s="166"/>
      <c r="C41" s="166"/>
      <c r="D41" s="111"/>
      <c r="E41" s="8">
        <f>SUM(E38:E40)</f>
        <v>217199.796896</v>
      </c>
    </row>
    <row r="42" spans="1:5" ht="12.75">
      <c r="A42" s="92" t="s">
        <v>307</v>
      </c>
      <c r="B42" s="38"/>
      <c r="C42" s="39"/>
      <c r="D42" s="8"/>
      <c r="E42" s="103">
        <f>E41/A12/12</f>
        <v>11.269524360044</v>
      </c>
    </row>
    <row r="43" spans="1:5" ht="12.75">
      <c r="A43" s="93"/>
      <c r="B43" s="11"/>
      <c r="C43" s="12"/>
      <c r="D43" s="12"/>
      <c r="E43" s="51"/>
    </row>
  </sheetData>
  <mergeCells count="24">
    <mergeCell ref="A18:C18"/>
    <mergeCell ref="A20:C20"/>
    <mergeCell ref="A21:C21"/>
    <mergeCell ref="A6:E6"/>
    <mergeCell ref="A10:E10"/>
    <mergeCell ref="A14:A15"/>
    <mergeCell ref="C14:C15"/>
    <mergeCell ref="A22:C22"/>
    <mergeCell ref="A23:C23"/>
    <mergeCell ref="A24:D24"/>
    <mergeCell ref="A25:C25"/>
    <mergeCell ref="A30:C30"/>
    <mergeCell ref="A31:C31"/>
    <mergeCell ref="A32:C32"/>
    <mergeCell ref="A26:C26"/>
    <mergeCell ref="A27:C27"/>
    <mergeCell ref="A28:C28"/>
    <mergeCell ref="A29:C29"/>
    <mergeCell ref="A39:C39"/>
    <mergeCell ref="A41:C41"/>
    <mergeCell ref="A34:C34"/>
    <mergeCell ref="B35:C35"/>
    <mergeCell ref="A38:C38"/>
    <mergeCell ref="A40:B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E38" sqref="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1:5" ht="12.75">
      <c r="A3" s="69"/>
      <c r="B3" s="69"/>
      <c r="C3" s="69" t="s">
        <v>278</v>
      </c>
      <c r="D3" s="69"/>
      <c r="E3" s="69"/>
    </row>
    <row r="4" spans="1:5" ht="12.75">
      <c r="A4" s="69"/>
      <c r="B4" s="69"/>
      <c r="C4" s="69"/>
      <c r="D4" s="69"/>
      <c r="E4" s="69"/>
    </row>
    <row r="5" spans="1:5" ht="12.75">
      <c r="A5" s="69"/>
      <c r="B5" s="69"/>
      <c r="C5" s="69"/>
      <c r="D5" s="69"/>
      <c r="E5" s="69"/>
    </row>
    <row r="6" spans="1:15" ht="22.5" customHeight="1">
      <c r="A6" s="127" t="s">
        <v>547</v>
      </c>
      <c r="B6" s="128"/>
      <c r="C6" s="128"/>
      <c r="D6" s="128"/>
      <c r="E6" s="12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94" t="s">
        <v>541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2571.2</v>
      </c>
      <c r="B12" s="58">
        <v>193.2</v>
      </c>
      <c r="C12" s="58">
        <v>345</v>
      </c>
      <c r="D12" s="58"/>
      <c r="E12" s="58">
        <v>3870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542</v>
      </c>
      <c r="C14" s="134" t="s">
        <v>543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544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40403.597400000006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562</v>
      </c>
      <c r="B20" s="122"/>
      <c r="C20" s="122"/>
      <c r="D20" s="43"/>
      <c r="E20" s="44">
        <f>0.241*5800*1.75*1.203*12</f>
        <v>35312.6214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563</v>
      </c>
      <c r="B21" s="136"/>
      <c r="C21" s="136"/>
      <c r="D21" s="20"/>
      <c r="E21" s="25">
        <f>0.025*A12*12</f>
        <v>771.36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564</v>
      </c>
      <c r="B22" s="136"/>
      <c r="C22" s="136"/>
      <c r="D22" s="20"/>
      <c r="E22" s="25">
        <f>0.01*A12*12</f>
        <v>308.544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565</v>
      </c>
      <c r="B23" s="136"/>
      <c r="C23" s="136"/>
      <c r="D23" s="137"/>
      <c r="E23" s="26">
        <f>0.13*A12*12</f>
        <v>4011.0719999999997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62919.951799999995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566</v>
      </c>
      <c r="B25" s="136"/>
      <c r="C25" s="136"/>
      <c r="D25" s="20"/>
      <c r="E25" s="25">
        <f>151*1.5*101.01</f>
        <v>22878.765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567</v>
      </c>
      <c r="B26" s="136"/>
      <c r="C26" s="136"/>
      <c r="D26" s="20"/>
      <c r="E26" s="25">
        <f>151*1.5*38.06</f>
        <v>8620.59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568</v>
      </c>
      <c r="B27" s="136"/>
      <c r="C27" s="136"/>
      <c r="D27" s="20"/>
      <c r="E27" s="26">
        <f>5700*2.89</f>
        <v>16473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545</v>
      </c>
      <c r="B28" s="136"/>
      <c r="C28" s="136"/>
      <c r="D28" s="20"/>
      <c r="E28" s="25">
        <f>0.002*A12*12</f>
        <v>61.7088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569</v>
      </c>
      <c r="B29" s="136"/>
      <c r="C29" s="136"/>
      <c r="D29" s="20"/>
      <c r="E29" s="25">
        <f>0.32*A12*12</f>
        <v>9873.408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570</v>
      </c>
      <c r="B30" s="136"/>
      <c r="C30" s="136"/>
      <c r="D30" s="20"/>
      <c r="E30" s="26">
        <f>64*6.08+64*18.06*4</f>
        <v>5012.48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328</v>
      </c>
      <c r="B31" s="28" t="s">
        <v>327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134350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571</v>
      </c>
      <c r="D33" s="29"/>
      <c r="E33" s="18">
        <f>0.78*A12*12</f>
        <v>24066.431999999997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2" t="s">
        <v>490</v>
      </c>
      <c r="B34" s="143"/>
      <c r="C34" s="143"/>
      <c r="D34" s="29" t="s">
        <v>572</v>
      </c>
      <c r="E34" s="18">
        <f>2.04*A12*12</f>
        <v>62942.975999999995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546</v>
      </c>
      <c r="D35" s="37"/>
      <c r="E35" s="8">
        <f>0.003*A12*12</f>
        <v>92.5632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324775.5204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19486.531224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8" t="s">
        <v>561</v>
      </c>
      <c r="B38" s="149"/>
      <c r="C38" s="117"/>
      <c r="D38" s="29"/>
      <c r="E38" s="19">
        <f>A12*11.27*12*0.01</f>
        <v>3477.2908799999996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347739.34250399994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/>
      <c r="E40" s="103">
        <f>E39/A12/12</f>
        <v>11.270332351431238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15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 t="s">
        <v>296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23">
    <mergeCell ref="A34:C34"/>
    <mergeCell ref="A36:C36"/>
    <mergeCell ref="A37:C37"/>
    <mergeCell ref="A39:C39"/>
    <mergeCell ref="A38:B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39" sqref="A39:E39"/>
    </sheetView>
  </sheetViews>
  <sheetFormatPr defaultColWidth="9.00390625" defaultRowHeight="12.75"/>
  <cols>
    <col min="1" max="1" width="18.00390625" style="69" customWidth="1"/>
    <col min="2" max="2" width="18.375" style="69" customWidth="1"/>
    <col min="3" max="3" width="17.00390625" style="69" customWidth="1"/>
    <col min="4" max="4" width="16.625" style="69" customWidth="1"/>
    <col min="5" max="5" width="13.625" style="69" customWidth="1"/>
    <col min="6" max="16384" width="9.125" style="69" customWidth="1"/>
  </cols>
  <sheetData>
    <row r="1" ht="12.75">
      <c r="C1" s="69" t="s">
        <v>310</v>
      </c>
    </row>
    <row r="2" ht="12.75">
      <c r="C2" s="69" t="s">
        <v>408</v>
      </c>
    </row>
    <row r="3" ht="12.75">
      <c r="C3" s="69" t="s">
        <v>278</v>
      </c>
    </row>
    <row r="6" spans="1:5" ht="15.75">
      <c r="A6" s="127" t="s">
        <v>547</v>
      </c>
      <c r="B6" s="128"/>
      <c r="C6" s="128"/>
      <c r="D6" s="128"/>
      <c r="E6" s="128"/>
    </row>
    <row r="7" spans="1:5" ht="12.75">
      <c r="A7" s="71" t="s">
        <v>296</v>
      </c>
      <c r="B7" s="71"/>
      <c r="C7" s="51"/>
      <c r="D7" s="51"/>
      <c r="E7" s="51"/>
    </row>
    <row r="8" spans="1:5" ht="14.25">
      <c r="A8" s="3" t="s">
        <v>470</v>
      </c>
      <c r="B8" s="51"/>
      <c r="C8" s="51"/>
      <c r="D8" s="51"/>
      <c r="E8" s="51"/>
    </row>
    <row r="9" spans="1:5" ht="15">
      <c r="A9" s="94"/>
      <c r="B9" s="51"/>
      <c r="C9" s="51"/>
      <c r="D9" s="51"/>
      <c r="E9" s="51"/>
    </row>
    <row r="10" spans="1:5" ht="12.75">
      <c r="A10" s="150" t="s">
        <v>299</v>
      </c>
      <c r="B10" s="181"/>
      <c r="C10" s="181"/>
      <c r="D10" s="181"/>
      <c r="E10" s="182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7.25" customHeight="1">
      <c r="A12" s="72">
        <v>1107.8</v>
      </c>
      <c r="B12" s="73">
        <v>91.9</v>
      </c>
      <c r="C12" s="73">
        <v>245.7</v>
      </c>
      <c r="D12" s="73"/>
      <c r="E12" s="73">
        <v>926.8</v>
      </c>
    </row>
    <row r="13" spans="1:5" ht="12.75">
      <c r="A13" s="4"/>
      <c r="B13" s="51"/>
      <c r="C13" s="51"/>
      <c r="D13" s="51"/>
      <c r="E13" s="51"/>
    </row>
    <row r="14" spans="1:5" ht="12.75">
      <c r="A14" s="153" t="s">
        <v>304</v>
      </c>
      <c r="B14" s="9" t="s">
        <v>471</v>
      </c>
      <c r="C14" s="134" t="s">
        <v>472</v>
      </c>
      <c r="D14" s="21"/>
      <c r="E14" s="51"/>
    </row>
    <row r="15" spans="1:5" ht="12.75">
      <c r="A15" s="154"/>
      <c r="B15" s="9" t="s">
        <v>473</v>
      </c>
      <c r="C15" s="123"/>
      <c r="D15" s="104"/>
      <c r="E15" s="51"/>
    </row>
    <row r="16" spans="1:5" ht="12.75">
      <c r="A16" s="4"/>
      <c r="B16" s="51"/>
      <c r="C16" s="51"/>
      <c r="D16" s="51"/>
      <c r="E16" s="51"/>
    </row>
    <row r="17" spans="1:5" ht="12.75">
      <c r="A17" s="155" t="s">
        <v>293</v>
      </c>
      <c r="B17" s="156"/>
      <c r="C17" s="156"/>
      <c r="D17" s="46"/>
      <c r="E17" s="75" t="s">
        <v>297</v>
      </c>
    </row>
    <row r="18" spans="1:5" ht="12.75">
      <c r="A18" s="76" t="s">
        <v>294</v>
      </c>
      <c r="B18" s="77"/>
      <c r="C18" s="77"/>
      <c r="D18" s="78"/>
      <c r="E18" s="79">
        <f>E20+E21+E22+E23</f>
        <v>18311.238</v>
      </c>
    </row>
    <row r="19" spans="1:5" ht="12.75">
      <c r="A19" s="179" t="s">
        <v>305</v>
      </c>
      <c r="B19" s="180"/>
      <c r="C19" s="180"/>
      <c r="D19" s="106"/>
      <c r="E19" s="107"/>
    </row>
    <row r="20" spans="1:5" ht="12.75">
      <c r="A20" s="159" t="s">
        <v>164</v>
      </c>
      <c r="B20" s="160"/>
      <c r="C20" s="160"/>
      <c r="D20" s="108"/>
      <c r="E20" s="44">
        <f>0.11*5800*1.75*1.203*12</f>
        <v>16117.794</v>
      </c>
    </row>
    <row r="21" spans="1:5" ht="12.75" customHeight="1">
      <c r="A21" s="135" t="s">
        <v>165</v>
      </c>
      <c r="B21" s="136"/>
      <c r="C21" s="136"/>
      <c r="D21" s="20"/>
      <c r="E21" s="25">
        <f>0.025*A12*12</f>
        <v>332.34000000000003</v>
      </c>
    </row>
    <row r="22" spans="1:5" ht="12.75" customHeight="1">
      <c r="A22" s="135" t="s">
        <v>166</v>
      </c>
      <c r="B22" s="136"/>
      <c r="C22" s="136"/>
      <c r="D22" s="20"/>
      <c r="E22" s="25">
        <f>0.01*A12*12</f>
        <v>132.93599999999998</v>
      </c>
    </row>
    <row r="23" spans="1:5" ht="12.75" customHeight="1">
      <c r="A23" s="135" t="s">
        <v>167</v>
      </c>
      <c r="B23" s="136"/>
      <c r="C23" s="136"/>
      <c r="D23" s="137"/>
      <c r="E23" s="26">
        <f>0.13*A12*12</f>
        <v>1728.1680000000001</v>
      </c>
    </row>
    <row r="24" spans="1:5" ht="12.75">
      <c r="A24" s="161" t="s">
        <v>295</v>
      </c>
      <c r="B24" s="162"/>
      <c r="C24" s="162"/>
      <c r="D24" s="107"/>
      <c r="E24" s="18">
        <f>E25+E26+E27+E28+E30+E31+E32+E29</f>
        <v>29829.974200000004</v>
      </c>
    </row>
    <row r="25" spans="1:5" ht="12.75">
      <c r="A25" s="163" t="s">
        <v>168</v>
      </c>
      <c r="B25" s="164"/>
      <c r="C25" s="164"/>
      <c r="D25" s="107"/>
      <c r="E25" s="25">
        <f>81*1.5*101.01</f>
        <v>12272.715</v>
      </c>
    </row>
    <row r="26" spans="1:5" ht="12.75">
      <c r="A26" s="163" t="s">
        <v>169</v>
      </c>
      <c r="B26" s="164"/>
      <c r="C26" s="164"/>
      <c r="D26" s="107"/>
      <c r="E26" s="25">
        <f>81*1.5*38.06</f>
        <v>4624.29</v>
      </c>
    </row>
    <row r="27" spans="1:5" ht="12.75">
      <c r="A27" s="163" t="s">
        <v>170</v>
      </c>
      <c r="B27" s="164"/>
      <c r="C27" s="164"/>
      <c r="D27" s="107"/>
      <c r="E27" s="26">
        <f>2550*2.89</f>
        <v>7369.5</v>
      </c>
    </row>
    <row r="28" spans="1:5" ht="12.75">
      <c r="A28" s="163" t="s">
        <v>474</v>
      </c>
      <c r="B28" s="164"/>
      <c r="C28" s="164"/>
      <c r="D28" s="107"/>
      <c r="E28" s="25">
        <f>0.002*A12*12</f>
        <v>26.587199999999996</v>
      </c>
    </row>
    <row r="29" spans="1:5" ht="12.75">
      <c r="A29" s="135" t="s">
        <v>171</v>
      </c>
      <c r="B29" s="136"/>
      <c r="C29" s="136"/>
      <c r="D29" s="107"/>
      <c r="E29" s="25">
        <f>1.61*437</f>
        <v>703.57</v>
      </c>
    </row>
    <row r="30" spans="1:5" ht="12.75">
      <c r="A30" s="163" t="s">
        <v>172</v>
      </c>
      <c r="B30" s="164"/>
      <c r="C30" s="164"/>
      <c r="D30" s="107"/>
      <c r="E30" s="25">
        <f>0.32*A12*12</f>
        <v>4253.951999999999</v>
      </c>
    </row>
    <row r="31" spans="1:5" ht="12.75">
      <c r="A31" s="163" t="s">
        <v>173</v>
      </c>
      <c r="B31" s="164"/>
      <c r="C31" s="164"/>
      <c r="D31" s="107"/>
      <c r="E31" s="26">
        <f>24*6.08+24*18.06</f>
        <v>579.3599999999999</v>
      </c>
    </row>
    <row r="32" spans="1:5" ht="12" customHeight="1">
      <c r="A32" s="83" t="s">
        <v>328</v>
      </c>
      <c r="B32" s="84"/>
      <c r="C32" s="84"/>
      <c r="D32" s="107"/>
      <c r="E32" s="5"/>
    </row>
    <row r="33" spans="1:5" ht="12.75" customHeight="1">
      <c r="A33" s="140" t="s">
        <v>311</v>
      </c>
      <c r="B33" s="141"/>
      <c r="C33" s="141"/>
      <c r="D33" s="95"/>
      <c r="E33" s="96">
        <v>54260</v>
      </c>
    </row>
    <row r="34" spans="1:5" ht="12.75" customHeight="1">
      <c r="A34" s="30" t="s">
        <v>312</v>
      </c>
      <c r="B34" s="167" t="s">
        <v>174</v>
      </c>
      <c r="C34" s="167"/>
      <c r="D34" s="29"/>
      <c r="E34" s="8">
        <f>0.78*A12*12</f>
        <v>10369.008</v>
      </c>
    </row>
    <row r="35" spans="1:5" ht="12.75">
      <c r="A35" s="31" t="s">
        <v>313</v>
      </c>
      <c r="B35" s="32"/>
      <c r="C35" s="33" t="s">
        <v>175</v>
      </c>
      <c r="D35" s="34"/>
      <c r="E35" s="18">
        <f>2.04*A12*12</f>
        <v>27118.943999999996</v>
      </c>
    </row>
    <row r="36" spans="1:5" ht="12.75">
      <c r="A36" s="88" t="s">
        <v>314</v>
      </c>
      <c r="B36" s="109"/>
      <c r="C36" s="109" t="s">
        <v>475</v>
      </c>
      <c r="D36" s="110"/>
      <c r="E36" s="8">
        <f>0.003*A12*12</f>
        <v>39.8808</v>
      </c>
    </row>
    <row r="37" spans="1:5" ht="12.75">
      <c r="A37" s="165" t="s">
        <v>315</v>
      </c>
      <c r="B37" s="166"/>
      <c r="C37" s="166"/>
      <c r="D37" s="111"/>
      <c r="E37" s="8">
        <f>E36+E35+E34+E24+E18+E33</f>
        <v>139929.04499999998</v>
      </c>
    </row>
    <row r="38" spans="1:5" ht="12.75" customHeight="1">
      <c r="A38" s="146" t="s">
        <v>385</v>
      </c>
      <c r="B38" s="147"/>
      <c r="C38" s="147"/>
      <c r="D38" s="111"/>
      <c r="E38" s="19">
        <f>E37*0.06</f>
        <v>8395.742699999999</v>
      </c>
    </row>
    <row r="39" spans="1:5" ht="12.75" customHeight="1">
      <c r="A39" s="177" t="s">
        <v>561</v>
      </c>
      <c r="B39" s="178"/>
      <c r="C39" s="117"/>
      <c r="D39" s="29"/>
      <c r="E39" s="19">
        <f>A12*11.27*12*0.01</f>
        <v>1498.1887199999999</v>
      </c>
    </row>
    <row r="40" spans="1:5" ht="12.75">
      <c r="A40" s="165" t="s">
        <v>316</v>
      </c>
      <c r="B40" s="166"/>
      <c r="C40" s="166"/>
      <c r="D40" s="111"/>
      <c r="E40" s="8">
        <f>SUM(E37:E39)</f>
        <v>149822.97642</v>
      </c>
    </row>
    <row r="41" spans="1:5" ht="12.75">
      <c r="A41" s="92" t="s">
        <v>307</v>
      </c>
      <c r="B41" s="38"/>
      <c r="C41" s="39"/>
      <c r="D41" s="8"/>
      <c r="E41" s="103">
        <f>E40/A12/12</f>
        <v>11.270308751579707</v>
      </c>
    </row>
    <row r="42" spans="1:5" ht="12.75">
      <c r="A42" s="93"/>
      <c r="B42" s="11"/>
      <c r="C42" s="12"/>
      <c r="D42" s="12"/>
      <c r="E42" s="51"/>
    </row>
  </sheetData>
  <mergeCells count="24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6:C26"/>
    <mergeCell ref="A27:C27"/>
    <mergeCell ref="A28:C28"/>
    <mergeCell ref="A29:C29"/>
    <mergeCell ref="A40:C40"/>
    <mergeCell ref="A33:C33"/>
    <mergeCell ref="B34:C34"/>
    <mergeCell ref="A37:C37"/>
    <mergeCell ref="A38:C38"/>
    <mergeCell ref="A39:B3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38" sqref="A38: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3" t="s">
        <v>362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2715.6</v>
      </c>
      <c r="B12" s="48">
        <v>266</v>
      </c>
      <c r="C12" s="48">
        <v>981.1</v>
      </c>
      <c r="D12" s="48"/>
      <c r="E12" s="6">
        <v>2943.7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49" t="s">
        <v>363</v>
      </c>
      <c r="C14" s="134" t="s">
        <v>365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72"/>
      <c r="B15" s="49" t="s">
        <v>364</v>
      </c>
      <c r="C15" s="17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66917.55600000001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176</v>
      </c>
      <c r="B20" s="122"/>
      <c r="C20" s="122"/>
      <c r="D20" s="43"/>
      <c r="E20" s="44">
        <f>0.42*5800*1.75*1.203*12</f>
        <v>61540.668000000005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177</v>
      </c>
      <c r="B21" s="136"/>
      <c r="C21" s="136"/>
      <c r="D21" s="20"/>
      <c r="E21" s="25">
        <f>0.025*A12*12</f>
        <v>814.6800000000001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178</v>
      </c>
      <c r="B22" s="136"/>
      <c r="C22" s="136"/>
      <c r="D22" s="20"/>
      <c r="E22" s="25">
        <f>0.01*A12*12</f>
        <v>325.87199999999996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179</v>
      </c>
      <c r="B23" s="136"/>
      <c r="C23" s="136"/>
      <c r="D23" s="137"/>
      <c r="E23" s="26">
        <f>0.13*A12*12</f>
        <v>4236.336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61087.6084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35" t="s">
        <v>180</v>
      </c>
      <c r="B25" s="136"/>
      <c r="C25" s="136"/>
      <c r="D25" s="20"/>
      <c r="E25" s="25">
        <f>146*1.5*101.01</f>
        <v>22121.190000000002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63" t="s">
        <v>181</v>
      </c>
      <c r="B26" s="164"/>
      <c r="C26" s="164"/>
      <c r="D26" s="20"/>
      <c r="E26" s="25">
        <f>146*1.5*38.06</f>
        <v>8335.140000000001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182</v>
      </c>
      <c r="B27" s="136"/>
      <c r="C27" s="136"/>
      <c r="D27" s="20"/>
      <c r="E27" s="26">
        <f>6300*2.89</f>
        <v>18207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366</v>
      </c>
      <c r="B28" s="136"/>
      <c r="C28" s="136"/>
      <c r="D28" s="20"/>
      <c r="E28" s="25">
        <f>0.002*A12*12</f>
        <v>65.17439999999999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183</v>
      </c>
      <c r="B29" s="136"/>
      <c r="C29" s="136"/>
      <c r="D29" s="20"/>
      <c r="E29" s="25">
        <f>0.32*A12*12</f>
        <v>10427.903999999999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184</v>
      </c>
      <c r="B30" s="136"/>
      <c r="C30" s="136"/>
      <c r="D30" s="20"/>
      <c r="E30" s="26">
        <f>80*6.08+80*18.06</f>
        <v>1931.1999999999998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308</v>
      </c>
      <c r="B31" s="28"/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123005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185</v>
      </c>
      <c r="D33" s="29"/>
      <c r="E33" s="18">
        <f>0.78*A12*12</f>
        <v>25418.016000000003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2" t="s">
        <v>186</v>
      </c>
      <c r="B34" s="143"/>
      <c r="C34" s="143"/>
      <c r="D34" s="29"/>
      <c r="E34" s="18">
        <f>2.04*A12*12</f>
        <v>66477.88799999999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187</v>
      </c>
      <c r="D35" s="37"/>
      <c r="E35" s="8">
        <f>0.003*A12*12</f>
        <v>97.76160000000002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343003.82999999996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20580.229799999997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77" t="s">
        <v>561</v>
      </c>
      <c r="B38" s="178"/>
      <c r="C38" s="117"/>
      <c r="D38" s="29"/>
      <c r="E38" s="19">
        <f>A12*11.27*12*0.01</f>
        <v>3672.5774399999996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367256.63723999995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 t="s">
        <v>296</v>
      </c>
      <c r="E40" s="103">
        <f>E39/A12/12</f>
        <v>11.269966036971569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hidden="1">
      <c r="A42" s="10" t="s">
        <v>309</v>
      </c>
      <c r="B42" s="11"/>
      <c r="C42" s="56" t="s">
        <v>342</v>
      </c>
      <c r="D42" s="183" t="s">
        <v>325</v>
      </c>
      <c r="E42" s="184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3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1" t="s">
        <v>344</v>
      </c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 t="s">
        <v>343</v>
      </c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296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24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26:C26"/>
    <mergeCell ref="A27:C27"/>
    <mergeCell ref="A28:C28"/>
    <mergeCell ref="A29:C29"/>
    <mergeCell ref="A30:C30"/>
    <mergeCell ref="A32:C32"/>
    <mergeCell ref="D42:E42"/>
    <mergeCell ref="A34:C34"/>
    <mergeCell ref="A36:C36"/>
    <mergeCell ref="A37:C37"/>
    <mergeCell ref="A39:C39"/>
    <mergeCell ref="A38:B3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E38" sqref="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3" t="s">
        <v>351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3579.9</v>
      </c>
      <c r="B12" s="48">
        <v>276</v>
      </c>
      <c r="C12" s="48">
        <v>1219</v>
      </c>
      <c r="D12" s="48"/>
      <c r="E12" s="6">
        <v>2756.4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49" t="s">
        <v>352</v>
      </c>
      <c r="C14" s="134" t="s">
        <v>354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72"/>
      <c r="B15" s="49" t="s">
        <v>353</v>
      </c>
      <c r="C15" s="17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80350.90200000002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188</v>
      </c>
      <c r="B20" s="122"/>
      <c r="C20" s="122"/>
      <c r="D20" s="43"/>
      <c r="E20" s="44">
        <f>0.5*5800*1.75*1.203*12</f>
        <v>73262.70000000001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189</v>
      </c>
      <c r="B21" s="136"/>
      <c r="C21" s="136"/>
      <c r="D21" s="20"/>
      <c r="E21" s="25">
        <f>0.025*A12*12</f>
        <v>1073.97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190</v>
      </c>
      <c r="B22" s="136"/>
      <c r="C22" s="136"/>
      <c r="D22" s="20"/>
      <c r="E22" s="25">
        <f>0.01*A12*12</f>
        <v>429.58799999999997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191</v>
      </c>
      <c r="B23" s="136"/>
      <c r="C23" s="136"/>
      <c r="D23" s="137"/>
      <c r="E23" s="26">
        <f>0.13*A12*12</f>
        <v>5584.644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60924.573599999996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35" t="s">
        <v>651</v>
      </c>
      <c r="B25" s="136"/>
      <c r="C25" s="136"/>
      <c r="D25" s="20"/>
      <c r="E25" s="25">
        <f>168*1.5*101.01</f>
        <v>25454.52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63" t="s">
        <v>652</v>
      </c>
      <c r="B26" s="164"/>
      <c r="C26" s="164"/>
      <c r="D26" s="20"/>
      <c r="E26" s="25">
        <f>168*1.5*38.06</f>
        <v>9591.12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653</v>
      </c>
      <c r="B27" s="136"/>
      <c r="C27" s="136"/>
      <c r="D27" s="20"/>
      <c r="E27" s="26">
        <f>3500*2.89</f>
        <v>10115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355</v>
      </c>
      <c r="B28" s="136"/>
      <c r="C28" s="136"/>
      <c r="D28" s="20"/>
      <c r="E28" s="25">
        <f>0.002*A12*12</f>
        <v>85.91760000000001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654</v>
      </c>
      <c r="B29" s="136"/>
      <c r="C29" s="136"/>
      <c r="D29" s="20"/>
      <c r="E29" s="25">
        <f>0.32*A12*12</f>
        <v>13746.815999999999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184</v>
      </c>
      <c r="B30" s="136"/>
      <c r="C30" s="136"/>
      <c r="D30" s="20"/>
      <c r="E30" s="26">
        <f>80*6.08+80*18.06</f>
        <v>1931.1999999999998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308</v>
      </c>
      <c r="B31" s="28"/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189615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655</v>
      </c>
      <c r="D33" s="29"/>
      <c r="E33" s="18">
        <f>0.78*A12*12</f>
        <v>33507.864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2" t="s">
        <v>656</v>
      </c>
      <c r="B34" s="143"/>
      <c r="C34" s="143"/>
      <c r="D34" s="29"/>
      <c r="E34" s="18">
        <f>2.04*A12*12</f>
        <v>87635.952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356</v>
      </c>
      <c r="D35" s="37"/>
      <c r="E35" s="8">
        <f>0.003*A12*12</f>
        <v>128.87640000000002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452163.168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27129.79008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77" t="s">
        <v>561</v>
      </c>
      <c r="B38" s="178"/>
      <c r="C38" s="117"/>
      <c r="D38" s="29"/>
      <c r="E38" s="19">
        <f>A12*11.27*12*0.01</f>
        <v>4841.45676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484134.41484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 t="s">
        <v>296</v>
      </c>
      <c r="E40" s="103">
        <f>E39/A12/12</f>
        <v>11.269737861392777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hidden="1">
      <c r="A42" s="10" t="s">
        <v>309</v>
      </c>
      <c r="B42" s="11"/>
      <c r="C42" s="56" t="s">
        <v>342</v>
      </c>
      <c r="D42" s="183" t="s">
        <v>325</v>
      </c>
      <c r="E42" s="184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3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296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4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26:C26"/>
    <mergeCell ref="A27:C27"/>
    <mergeCell ref="A28:C28"/>
    <mergeCell ref="A29:C29"/>
    <mergeCell ref="A30:C30"/>
    <mergeCell ref="A32:C32"/>
    <mergeCell ref="D42:E42"/>
    <mergeCell ref="A34:C34"/>
    <mergeCell ref="A36:C36"/>
    <mergeCell ref="A37:C37"/>
    <mergeCell ref="A39:C39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8" sqref="A38:E38"/>
    </sheetView>
  </sheetViews>
  <sheetFormatPr defaultColWidth="9.00390625" defaultRowHeight="12.75"/>
  <cols>
    <col min="1" max="1" width="12.375" style="0" customWidth="1"/>
    <col min="2" max="2" width="19.625" style="0" customWidth="1"/>
    <col min="3" max="3" width="18.875" style="0" customWidth="1"/>
    <col min="4" max="4" width="15.625" style="0" customWidth="1"/>
    <col min="5" max="5" width="13.87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278</v>
      </c>
      <c r="D3" s="54"/>
    </row>
    <row r="4" spans="3:4" ht="15">
      <c r="C4" s="54"/>
      <c r="D4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5" customHeight="1">
      <c r="A8" s="3" t="s">
        <v>368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29" t="s">
        <v>299</v>
      </c>
      <c r="B10" s="130"/>
      <c r="C10" s="130"/>
      <c r="D10" s="130"/>
      <c r="E10" s="131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4.25">
      <c r="A12" s="50">
        <v>2044</v>
      </c>
      <c r="B12" s="48">
        <v>146.8</v>
      </c>
      <c r="C12" s="48">
        <v>400</v>
      </c>
      <c r="D12" s="48"/>
      <c r="E12" s="6">
        <v>1500</v>
      </c>
    </row>
    <row r="13" spans="1:5" ht="14.25">
      <c r="A13" s="3"/>
      <c r="B13" s="1"/>
      <c r="C13" s="1"/>
      <c r="D13" s="1"/>
      <c r="E13" s="1"/>
    </row>
    <row r="14" spans="1:5" ht="12.75">
      <c r="A14" s="132" t="s">
        <v>304</v>
      </c>
      <c r="B14" s="49" t="s">
        <v>358</v>
      </c>
      <c r="C14" s="134" t="s">
        <v>369</v>
      </c>
      <c r="D14" s="21"/>
      <c r="E14" s="1"/>
    </row>
    <row r="15" spans="1:5" ht="12.75">
      <c r="A15" s="172"/>
      <c r="B15" s="49" t="s">
        <v>359</v>
      </c>
      <c r="C15" s="172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24" t="s">
        <v>293</v>
      </c>
      <c r="B17" s="125"/>
      <c r="C17" s="125"/>
      <c r="D17" s="46"/>
      <c r="E17" s="47" t="s">
        <v>297</v>
      </c>
    </row>
    <row r="18" spans="1:5" ht="12.75">
      <c r="A18" s="40" t="s">
        <v>294</v>
      </c>
      <c r="B18" s="41"/>
      <c r="C18" s="41"/>
      <c r="D18" s="42"/>
      <c r="E18" s="23">
        <f>E20+E21+E22+E23</f>
        <v>30421.692000000003</v>
      </c>
    </row>
    <row r="19" spans="1:5" ht="12.75">
      <c r="A19" s="126" t="s">
        <v>305</v>
      </c>
      <c r="B19" s="120"/>
      <c r="C19" s="120"/>
      <c r="D19" s="45"/>
      <c r="E19" s="20"/>
    </row>
    <row r="20" spans="1:5" ht="12.75">
      <c r="A20" s="121" t="s">
        <v>657</v>
      </c>
      <c r="B20" s="122"/>
      <c r="C20" s="122"/>
      <c r="D20" s="43"/>
      <c r="E20" s="44">
        <f>0.18*5800*1.75*1.203*12</f>
        <v>26374.572000000004</v>
      </c>
    </row>
    <row r="21" spans="1:5" ht="12.75">
      <c r="A21" s="135" t="s">
        <v>658</v>
      </c>
      <c r="B21" s="136"/>
      <c r="C21" s="136"/>
      <c r="D21" s="20"/>
      <c r="E21" s="25">
        <f>0.025*A12*12</f>
        <v>613.2</v>
      </c>
    </row>
    <row r="22" spans="1:5" ht="12.75">
      <c r="A22" s="135" t="s">
        <v>659</v>
      </c>
      <c r="B22" s="136"/>
      <c r="C22" s="136"/>
      <c r="D22" s="20"/>
      <c r="E22" s="25">
        <f>0.01*A12*12</f>
        <v>245.28000000000003</v>
      </c>
    </row>
    <row r="23" spans="1:5" ht="12.75">
      <c r="A23" s="135" t="s">
        <v>660</v>
      </c>
      <c r="B23" s="136"/>
      <c r="C23" s="136"/>
      <c r="D23" s="137"/>
      <c r="E23" s="26">
        <f>0.13*A12*12</f>
        <v>3188.6400000000003</v>
      </c>
    </row>
    <row r="24" spans="1:5" ht="12.75">
      <c r="A24" s="138" t="s">
        <v>295</v>
      </c>
      <c r="B24" s="139"/>
      <c r="C24" s="139"/>
      <c r="D24" s="20"/>
      <c r="E24" s="18">
        <f>E25+E26+E27+E28+E29+E30+E31</f>
        <v>42240.331000000006</v>
      </c>
    </row>
    <row r="25" spans="1:5" ht="12.75">
      <c r="A25" s="135" t="s">
        <v>661</v>
      </c>
      <c r="B25" s="136"/>
      <c r="C25" s="136"/>
      <c r="D25" s="20"/>
      <c r="E25" s="25">
        <f>91*1.5*101.01</f>
        <v>13787.865000000002</v>
      </c>
    </row>
    <row r="26" spans="1:5" ht="12.75" customHeight="1">
      <c r="A26" s="163" t="s">
        <v>662</v>
      </c>
      <c r="B26" s="164"/>
      <c r="C26" s="164"/>
      <c r="D26" s="20"/>
      <c r="E26" s="25">
        <f>91*1.5*38.06</f>
        <v>5195.1900000000005</v>
      </c>
    </row>
    <row r="27" spans="1:5" ht="12.75">
      <c r="A27" s="135" t="s">
        <v>663</v>
      </c>
      <c r="B27" s="136"/>
      <c r="C27" s="136"/>
      <c r="D27" s="20"/>
      <c r="E27" s="26">
        <f>4150*2.89</f>
        <v>11993.5</v>
      </c>
    </row>
    <row r="28" spans="1:5" ht="12.75">
      <c r="A28" s="135" t="s">
        <v>360</v>
      </c>
      <c r="B28" s="136"/>
      <c r="C28" s="136"/>
      <c r="D28" s="20"/>
      <c r="E28" s="25">
        <f>0.002*A12*12</f>
        <v>49.056</v>
      </c>
    </row>
    <row r="29" spans="1:5" ht="12.75">
      <c r="A29" s="135" t="s">
        <v>664</v>
      </c>
      <c r="B29" s="136"/>
      <c r="C29" s="136"/>
      <c r="D29" s="20"/>
      <c r="E29" s="25">
        <f>0.32*A12*12</f>
        <v>7848.960000000001</v>
      </c>
    </row>
    <row r="30" spans="1:5" ht="12.75">
      <c r="A30" s="135" t="s">
        <v>665</v>
      </c>
      <c r="B30" s="136"/>
      <c r="C30" s="136"/>
      <c r="D30" s="20"/>
      <c r="E30" s="26">
        <f>48*5.44+(48*16.17*4)</f>
        <v>3365.76</v>
      </c>
    </row>
    <row r="31" spans="1:5" ht="12.75">
      <c r="A31" s="27" t="s">
        <v>308</v>
      </c>
      <c r="B31" s="28"/>
      <c r="C31" s="28"/>
      <c r="D31" s="20"/>
      <c r="E31" s="5"/>
    </row>
    <row r="32" spans="1:5" ht="12.75">
      <c r="A32" s="140" t="s">
        <v>311</v>
      </c>
      <c r="B32" s="141"/>
      <c r="C32" s="141"/>
      <c r="D32" s="29"/>
      <c r="E32" s="8">
        <v>116270</v>
      </c>
    </row>
    <row r="33" spans="1:5" ht="12.75">
      <c r="A33" s="52" t="s">
        <v>324</v>
      </c>
      <c r="B33" s="53"/>
      <c r="C33" s="53" t="s">
        <v>666</v>
      </c>
      <c r="D33" s="29"/>
      <c r="E33" s="18">
        <f>0.78*A12*12</f>
        <v>19131.840000000004</v>
      </c>
    </row>
    <row r="34" spans="1:5" ht="12.75">
      <c r="A34" s="185" t="s">
        <v>667</v>
      </c>
      <c r="B34" s="186"/>
      <c r="C34" s="186"/>
      <c r="D34" s="29"/>
      <c r="E34" s="18">
        <f>2.04*A12*12</f>
        <v>50037.12</v>
      </c>
    </row>
    <row r="35" spans="1:5" ht="12.75">
      <c r="A35" s="35" t="s">
        <v>284</v>
      </c>
      <c r="B35" s="36"/>
      <c r="C35" s="36" t="s">
        <v>361</v>
      </c>
      <c r="D35" s="37"/>
      <c r="E35" s="8">
        <f>0.003*A12*12</f>
        <v>73.584</v>
      </c>
    </row>
    <row r="36" spans="1:5" ht="12.75">
      <c r="A36" s="144" t="s">
        <v>367</v>
      </c>
      <c r="B36" s="145"/>
      <c r="C36" s="145"/>
      <c r="D36" s="29"/>
      <c r="E36" s="8">
        <f>E35+E34+E33+E32+E24+E18</f>
        <v>258174.567</v>
      </c>
    </row>
    <row r="37" spans="1:5" ht="12.75" customHeight="1">
      <c r="A37" s="146" t="s">
        <v>385</v>
      </c>
      <c r="B37" s="147"/>
      <c r="C37" s="147"/>
      <c r="D37" s="29"/>
      <c r="E37" s="19">
        <f>E36*0.06</f>
        <v>15490.47402</v>
      </c>
    </row>
    <row r="38" spans="1:5" ht="12.75">
      <c r="A38" s="177" t="s">
        <v>561</v>
      </c>
      <c r="B38" s="178"/>
      <c r="C38" s="117"/>
      <c r="D38" s="29"/>
      <c r="E38" s="19">
        <f>A12*11.27*12*0.01</f>
        <v>2764.3055999999992</v>
      </c>
    </row>
    <row r="39" spans="1:5" ht="12.75">
      <c r="A39" s="144" t="s">
        <v>316</v>
      </c>
      <c r="B39" s="145"/>
      <c r="C39" s="145"/>
      <c r="D39" s="29"/>
      <c r="E39" s="8">
        <f>SUM(E36:E38)</f>
        <v>276429.34662</v>
      </c>
    </row>
    <row r="40" spans="1:5" ht="12.75">
      <c r="A40" s="7" t="s">
        <v>307</v>
      </c>
      <c r="B40" s="38"/>
      <c r="C40" s="39"/>
      <c r="D40" s="8" t="s">
        <v>296</v>
      </c>
      <c r="E40" s="103">
        <f>E39/A12/12</f>
        <v>11.269950530821918</v>
      </c>
    </row>
    <row r="41" spans="1:5" ht="12.75">
      <c r="A41" s="10"/>
      <c r="B41" s="11"/>
      <c r="C41" s="12"/>
      <c r="D41" s="12"/>
      <c r="E41" s="1"/>
    </row>
    <row r="44" ht="12.75">
      <c r="A44" s="61" t="s">
        <v>344</v>
      </c>
    </row>
    <row r="45" ht="12.75">
      <c r="A45" s="16" t="s">
        <v>343</v>
      </c>
    </row>
  </sheetData>
  <mergeCells count="23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26:C26"/>
    <mergeCell ref="A27:C27"/>
    <mergeCell ref="A28:C28"/>
    <mergeCell ref="A29:C29"/>
    <mergeCell ref="A36:C36"/>
    <mergeCell ref="A37:C37"/>
    <mergeCell ref="A39:C39"/>
    <mergeCell ref="A30:C30"/>
    <mergeCell ref="A32:C32"/>
    <mergeCell ref="A34:C34"/>
    <mergeCell ref="A38:B38"/>
  </mergeCells>
  <printOptions/>
  <pageMargins left="0.75" right="0.75" top="0.7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38" sqref="A38:E38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510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2050.9</v>
      </c>
      <c r="B12" s="48">
        <v>237.2</v>
      </c>
      <c r="C12" s="48">
        <v>566.5</v>
      </c>
      <c r="D12" s="48"/>
      <c r="E12" s="6">
        <v>863.9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49" t="s">
        <v>511</v>
      </c>
      <c r="C14" s="134" t="s">
        <v>512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72"/>
      <c r="B15" s="49" t="s">
        <v>513</v>
      </c>
      <c r="C15" s="17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34831.116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668</v>
      </c>
      <c r="B20" s="122"/>
      <c r="C20" s="122"/>
      <c r="D20" s="43"/>
      <c r="E20" s="44">
        <f>0.21*5800*1.75*1.203*12</f>
        <v>30770.334000000003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669</v>
      </c>
      <c r="B21" s="136"/>
      <c r="C21" s="136"/>
      <c r="D21" s="20"/>
      <c r="E21" s="25">
        <f>0.025*A12*12</f>
        <v>615.2700000000001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670</v>
      </c>
      <c r="B22" s="136"/>
      <c r="C22" s="136"/>
      <c r="D22" s="20"/>
      <c r="E22" s="25">
        <f>0.01*A12*12</f>
        <v>246.108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671</v>
      </c>
      <c r="B23" s="136"/>
      <c r="C23" s="136"/>
      <c r="D23" s="137"/>
      <c r="E23" s="26">
        <f>0.13*A12*12</f>
        <v>3199.4040000000005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31067.622600000006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35" t="s">
        <v>672</v>
      </c>
      <c r="B25" s="136"/>
      <c r="C25" s="136"/>
      <c r="D25" s="20"/>
      <c r="E25" s="25">
        <f>53*1.5*101.01</f>
        <v>8030.295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673</v>
      </c>
      <c r="B26" s="136"/>
      <c r="C26" s="136"/>
      <c r="D26" s="20"/>
      <c r="E26" s="25">
        <f>53*1.5*38.06</f>
        <v>3025.77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674</v>
      </c>
      <c r="B27" s="136"/>
      <c r="C27" s="136"/>
      <c r="D27" s="20"/>
      <c r="E27" s="26">
        <f>3600*2.89</f>
        <v>10404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514</v>
      </c>
      <c r="B28" s="136"/>
      <c r="C28" s="136"/>
      <c r="D28" s="20"/>
      <c r="E28" s="25">
        <f>0.002*A12*12</f>
        <v>49.221599999999995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675</v>
      </c>
      <c r="B29" s="136"/>
      <c r="C29" s="136"/>
      <c r="D29" s="20"/>
      <c r="E29" s="25">
        <f>0.32*A12*12</f>
        <v>7875.456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517</v>
      </c>
      <c r="B30" s="136"/>
      <c r="C30" s="136"/>
      <c r="D30" s="20"/>
      <c r="E30" s="26">
        <f>24*5.44+24*16.17*4</f>
        <v>1682.88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308</v>
      </c>
      <c r="B31" s="28" t="s">
        <v>327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112325.5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676</v>
      </c>
      <c r="D33" s="29"/>
      <c r="E33" s="18">
        <f>0.78*A12*12</f>
        <v>19196.424000000003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2" t="s">
        <v>515</v>
      </c>
      <c r="B34" s="143"/>
      <c r="C34" s="143"/>
      <c r="D34" s="29" t="s">
        <v>677</v>
      </c>
      <c r="E34" s="18">
        <f>2.04*A12*12</f>
        <v>50206.03200000001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516</v>
      </c>
      <c r="D35" s="37"/>
      <c r="E35" s="8">
        <f>0.003*A12*12</f>
        <v>73.8324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247700.52700000003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14862.031620000002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77" t="s">
        <v>561</v>
      </c>
      <c r="B38" s="178"/>
      <c r="C38" s="117"/>
      <c r="D38" s="29"/>
      <c r="E38" s="19">
        <f>A12*11.27*12*0.01</f>
        <v>2773.63716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265336.19578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 t="s">
        <v>296</v>
      </c>
      <c r="E40" s="103">
        <f>E39/A12/12</f>
        <v>10.781290969005477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4"/>
      <c r="C42" s="15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6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6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296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23">
    <mergeCell ref="A34:C34"/>
    <mergeCell ref="A36:C36"/>
    <mergeCell ref="A37:C37"/>
    <mergeCell ref="A39:C39"/>
    <mergeCell ref="A38:B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40" sqref="A40:E40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518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1958.7</v>
      </c>
      <c r="B12" s="48">
        <v>128.4</v>
      </c>
      <c r="C12" s="48">
        <v>834.6</v>
      </c>
      <c r="D12" s="48">
        <v>325</v>
      </c>
      <c r="E12" s="6">
        <v>1025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49" t="s">
        <v>519</v>
      </c>
      <c r="C14" s="134" t="s">
        <v>520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87"/>
      <c r="B15" t="s">
        <v>521</v>
      </c>
      <c r="C15" s="18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72"/>
      <c r="B16" s="49" t="s">
        <v>522</v>
      </c>
      <c r="C16" s="17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24" t="s">
        <v>293</v>
      </c>
      <c r="B18" s="125"/>
      <c r="C18" s="125"/>
      <c r="D18" s="46"/>
      <c r="E18" s="47" t="s">
        <v>297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294</v>
      </c>
      <c r="B19" s="41"/>
      <c r="C19" s="41"/>
      <c r="D19" s="42"/>
      <c r="E19" s="23">
        <f>E21+E22+E23+E24</f>
        <v>66884.14800000002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6" t="s">
        <v>305</v>
      </c>
      <c r="B20" s="120"/>
      <c r="C20" s="120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21" t="s">
        <v>678</v>
      </c>
      <c r="B21" s="122"/>
      <c r="C21" s="122"/>
      <c r="D21" s="43"/>
      <c r="E21" s="44">
        <f>0.43*5800*1.75*1.203*12</f>
        <v>63005.922000000006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679</v>
      </c>
      <c r="B22" s="136"/>
      <c r="C22" s="136"/>
      <c r="D22" s="20"/>
      <c r="E22" s="25">
        <f>0.025*A12*12</f>
        <v>587.61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680</v>
      </c>
      <c r="B23" s="136"/>
      <c r="C23" s="136"/>
      <c r="D23" s="20"/>
      <c r="E23" s="25">
        <f>0.01*A12*12</f>
        <v>235.04399999999998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>
      <c r="A24" s="135" t="s">
        <v>681</v>
      </c>
      <c r="B24" s="136"/>
      <c r="C24" s="136"/>
      <c r="D24" s="137"/>
      <c r="E24" s="26">
        <f>0.13*A12*12</f>
        <v>3055.572</v>
      </c>
      <c r="F24" s="1"/>
      <c r="G24" s="5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8" t="s">
        <v>295</v>
      </c>
      <c r="B25" s="139"/>
      <c r="C25" s="139"/>
      <c r="D25" s="20"/>
      <c r="E25" s="18">
        <f>E26+E27+E28+E29+E31+E32+E33+E30</f>
        <v>25139.373799999998</v>
      </c>
      <c r="F25" s="1"/>
      <c r="G25" s="1"/>
      <c r="H25" s="1"/>
      <c r="I25" s="51"/>
      <c r="J25" s="1"/>
      <c r="K25" s="1"/>
      <c r="L25" s="1"/>
      <c r="M25" s="1"/>
      <c r="N25" s="1"/>
      <c r="O25" s="1"/>
    </row>
    <row r="26" spans="1:15" ht="12.75" customHeight="1">
      <c r="A26" s="135" t="s">
        <v>20</v>
      </c>
      <c r="B26" s="136"/>
      <c r="C26" s="136"/>
      <c r="D26" s="20"/>
      <c r="E26" s="25">
        <f>42*1.5*101.01</f>
        <v>6363.63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21</v>
      </c>
      <c r="B27" s="136"/>
      <c r="C27" s="136"/>
      <c r="D27" s="20"/>
      <c r="E27" s="25">
        <f>42*1.5*38.06</f>
        <v>2397.78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22</v>
      </c>
      <c r="B28" s="136"/>
      <c r="C28" s="136"/>
      <c r="D28" s="20"/>
      <c r="E28" s="26">
        <f>2100*2.89</f>
        <v>6069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523</v>
      </c>
      <c r="B29" s="136"/>
      <c r="C29" s="136"/>
      <c r="D29" s="20"/>
      <c r="E29" s="25">
        <f>0.002*A12*12</f>
        <v>47.0088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23</v>
      </c>
      <c r="B30" s="136"/>
      <c r="C30" s="136"/>
      <c r="D30" s="20"/>
      <c r="E30" s="25">
        <f>1.61*534.7</f>
        <v>860.8670000000001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35" t="s">
        <v>24</v>
      </c>
      <c r="B31" s="136"/>
      <c r="C31" s="136"/>
      <c r="D31" s="20"/>
      <c r="E31" s="25">
        <f>0.32*A12*12</f>
        <v>7521.407999999999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35" t="s">
        <v>25</v>
      </c>
      <c r="B32" s="136"/>
      <c r="C32" s="136"/>
      <c r="D32" s="20"/>
      <c r="E32" s="26">
        <f>24*6.08+24*18.06*4</f>
        <v>1879.6799999999998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27" t="s">
        <v>308</v>
      </c>
      <c r="B33" s="28" t="s">
        <v>327</v>
      </c>
      <c r="C33" s="28"/>
      <c r="D33" s="20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0" t="s">
        <v>311</v>
      </c>
      <c r="B34" s="141"/>
      <c r="C34" s="141"/>
      <c r="D34" s="29"/>
      <c r="E34" s="8">
        <v>89020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52" t="s">
        <v>324</v>
      </c>
      <c r="B35" s="53"/>
      <c r="C35" s="53" t="s">
        <v>26</v>
      </c>
      <c r="D35" s="29"/>
      <c r="E35" s="18">
        <f>0.78*A12*12</f>
        <v>18333.432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2" t="s">
        <v>515</v>
      </c>
      <c r="B36" s="143"/>
      <c r="C36" s="143"/>
      <c r="D36" s="29" t="s">
        <v>27</v>
      </c>
      <c r="E36" s="18">
        <f>2.04*A12*12</f>
        <v>47948.976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35" t="s">
        <v>314</v>
      </c>
      <c r="B37" s="36"/>
      <c r="C37" s="36" t="s">
        <v>524</v>
      </c>
      <c r="D37" s="37"/>
      <c r="E37" s="8">
        <f>0.003*A12*12</f>
        <v>70.5132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4" t="s">
        <v>315</v>
      </c>
      <c r="B38" s="145"/>
      <c r="C38" s="145"/>
      <c r="D38" s="29"/>
      <c r="E38" s="8">
        <f>E37+E36+E35+E34+E25+E19</f>
        <v>247396.44300000003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46" t="s">
        <v>385</v>
      </c>
      <c r="B39" s="147"/>
      <c r="C39" s="147"/>
      <c r="D39" s="29"/>
      <c r="E39" s="19">
        <f>E38*0.06</f>
        <v>14843.786580000002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77" t="s">
        <v>561</v>
      </c>
      <c r="B40" s="178"/>
      <c r="C40" s="117"/>
      <c r="D40" s="29"/>
      <c r="E40" s="19">
        <f>A12*11.27*12*0.01</f>
        <v>2648.9458799999998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44" t="s">
        <v>316</v>
      </c>
      <c r="B41" s="145"/>
      <c r="C41" s="145"/>
      <c r="D41" s="29"/>
      <c r="E41" s="8">
        <f>SUM(E38:E40)</f>
        <v>264889.17546000006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7" t="s">
        <v>307</v>
      </c>
      <c r="B42" s="38"/>
      <c r="C42" s="39"/>
      <c r="D42" s="8" t="s">
        <v>296</v>
      </c>
      <c r="E42" s="103">
        <f>E41/A12/12</f>
        <v>11.269769722264769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2"/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1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296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24">
    <mergeCell ref="A41:C41"/>
    <mergeCell ref="A34:C34"/>
    <mergeCell ref="A36:C36"/>
    <mergeCell ref="A38:C38"/>
    <mergeCell ref="A39:C39"/>
    <mergeCell ref="A40:B40"/>
    <mergeCell ref="A31:C31"/>
    <mergeCell ref="A32:C32"/>
    <mergeCell ref="A27:C27"/>
    <mergeCell ref="A28:C28"/>
    <mergeCell ref="A29:C29"/>
    <mergeCell ref="A30:C30"/>
    <mergeCell ref="A23:C23"/>
    <mergeCell ref="A24:D24"/>
    <mergeCell ref="A25:C25"/>
    <mergeCell ref="A26:C26"/>
    <mergeCell ref="A18:C18"/>
    <mergeCell ref="A20:C20"/>
    <mergeCell ref="A21:C21"/>
    <mergeCell ref="A22:C22"/>
    <mergeCell ref="A6:E6"/>
    <mergeCell ref="A10:E10"/>
    <mergeCell ref="A14:A16"/>
    <mergeCell ref="C14:C1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9" sqref="A39:E39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310</v>
      </c>
      <c r="D1" s="54"/>
    </row>
    <row r="2" spans="3:4" ht="14.25" customHeight="1">
      <c r="C2" s="54" t="s">
        <v>277</v>
      </c>
      <c r="D2" s="54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530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3033.4</v>
      </c>
      <c r="B12" s="48">
        <v>335.6</v>
      </c>
      <c r="C12" s="48">
        <v>831.7</v>
      </c>
      <c r="D12" s="48">
        <v>375</v>
      </c>
      <c r="E12" s="6">
        <v>2278.2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49" t="s">
        <v>318</v>
      </c>
      <c r="C14" s="134" t="s">
        <v>317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87"/>
      <c r="B15" t="s">
        <v>319</v>
      </c>
      <c r="C15" s="18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72"/>
      <c r="B16" s="49" t="s">
        <v>320</v>
      </c>
      <c r="C16" s="17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24" t="s">
        <v>293</v>
      </c>
      <c r="B18" s="125"/>
      <c r="C18" s="125"/>
      <c r="D18" s="46"/>
      <c r="E18" s="47" t="s">
        <v>297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294</v>
      </c>
      <c r="B19" s="41"/>
      <c r="C19" s="41"/>
      <c r="D19" s="42"/>
      <c r="E19" s="23">
        <f>E21+E22+E23+E24</f>
        <v>76338.32400000002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6" t="s">
        <v>305</v>
      </c>
      <c r="B20" s="120"/>
      <c r="C20" s="120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21" t="s">
        <v>28</v>
      </c>
      <c r="B21" s="122"/>
      <c r="C21" s="122"/>
      <c r="D21" s="43"/>
      <c r="E21" s="44">
        <f>0.48*5800*1.75*1.203*12</f>
        <v>70332.19200000001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29</v>
      </c>
      <c r="B22" s="136"/>
      <c r="C22" s="136"/>
      <c r="D22" s="20"/>
      <c r="E22" s="25">
        <f>0.025*A12*12</f>
        <v>910.0200000000001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30</v>
      </c>
      <c r="B23" s="136"/>
      <c r="C23" s="136"/>
      <c r="D23" s="20"/>
      <c r="E23" s="25">
        <f>0.01*A12*12</f>
        <v>364.00800000000004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>
      <c r="A24" s="135" t="s">
        <v>31</v>
      </c>
      <c r="B24" s="136"/>
      <c r="C24" s="136"/>
      <c r="D24" s="137"/>
      <c r="E24" s="26">
        <f>0.13*A12*12</f>
        <v>4732.104</v>
      </c>
      <c r="F24" s="1"/>
      <c r="G24" s="5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8" t="s">
        <v>295</v>
      </c>
      <c r="B25" s="139"/>
      <c r="C25" s="139"/>
      <c r="D25" s="20"/>
      <c r="E25" s="18">
        <f>E26+E27+E28+E29+E30+E31+E32</f>
        <v>47452.8676</v>
      </c>
      <c r="F25" s="1"/>
      <c r="G25" s="1"/>
      <c r="H25" s="1"/>
      <c r="I25" s="51"/>
      <c r="J25" s="1"/>
      <c r="K25" s="1"/>
      <c r="L25" s="1"/>
      <c r="M25" s="1"/>
      <c r="N25" s="1"/>
      <c r="O25" s="1"/>
    </row>
    <row r="26" spans="1:15" ht="12.75" customHeight="1">
      <c r="A26" s="135" t="s">
        <v>32</v>
      </c>
      <c r="B26" s="136"/>
      <c r="C26" s="136"/>
      <c r="D26" s="20"/>
      <c r="E26" s="25">
        <f>135*1.5*90.3</f>
        <v>18285.75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33</v>
      </c>
      <c r="B27" s="136"/>
      <c r="C27" s="136"/>
      <c r="D27" s="20"/>
      <c r="E27" s="25">
        <f>135*35.02</f>
        <v>4727.700000000001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34</v>
      </c>
      <c r="B28" s="136"/>
      <c r="C28" s="136"/>
      <c r="D28" s="20"/>
      <c r="E28" s="26">
        <f>3100*2.89</f>
        <v>8959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322</v>
      </c>
      <c r="B29" s="136"/>
      <c r="C29" s="136"/>
      <c r="D29" s="20"/>
      <c r="E29" s="25">
        <f>0.002*A12*12</f>
        <v>72.80160000000001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35</v>
      </c>
      <c r="B30" s="136"/>
      <c r="C30" s="136"/>
      <c r="D30" s="20"/>
      <c r="E30" s="25">
        <f>0.32*A12*12</f>
        <v>11648.256000000001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35" t="s">
        <v>665</v>
      </c>
      <c r="B31" s="136"/>
      <c r="C31" s="136"/>
      <c r="D31" s="20"/>
      <c r="E31" s="26">
        <f>48*6.08+48*18.06*4</f>
        <v>3759.3599999999997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7" t="s">
        <v>308</v>
      </c>
      <c r="B32" s="28"/>
      <c r="C32" s="28"/>
      <c r="D32" s="20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0" t="s">
        <v>311</v>
      </c>
      <c r="B33" s="141"/>
      <c r="C33" s="141"/>
      <c r="D33" s="29"/>
      <c r="E33" s="8">
        <v>156600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2" t="s">
        <v>324</v>
      </c>
      <c r="B34" s="53"/>
      <c r="C34" s="53" t="s">
        <v>36</v>
      </c>
      <c r="D34" s="29"/>
      <c r="E34" s="18">
        <f>0.78*A12*12</f>
        <v>28392.624000000003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42" t="s">
        <v>329</v>
      </c>
      <c r="B35" s="143"/>
      <c r="C35" s="143"/>
      <c r="D35" s="29" t="s">
        <v>37</v>
      </c>
      <c r="E35" s="18">
        <f>2.04*A12*12</f>
        <v>74257.63200000001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5" t="s">
        <v>314</v>
      </c>
      <c r="B36" s="36"/>
      <c r="C36" s="36" t="s">
        <v>323</v>
      </c>
      <c r="D36" s="37"/>
      <c r="E36" s="8">
        <f>0.003*A12*12</f>
        <v>109.20240000000001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4" t="s">
        <v>315</v>
      </c>
      <c r="B37" s="145"/>
      <c r="C37" s="145"/>
      <c r="D37" s="29"/>
      <c r="E37" s="8">
        <f>E36+E35+E34+E33+E25+E19</f>
        <v>383150.65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6" t="s">
        <v>385</v>
      </c>
      <c r="B38" s="147"/>
      <c r="C38" s="147"/>
      <c r="D38" s="29"/>
      <c r="E38" s="19">
        <f>E37*0.06</f>
        <v>22989.039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77" t="s">
        <v>561</v>
      </c>
      <c r="B39" s="178"/>
      <c r="C39" s="117"/>
      <c r="D39" s="29"/>
      <c r="E39" s="19">
        <f>A12*11.27*12*0.01</f>
        <v>4102.3701599999995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44" t="s">
        <v>316</v>
      </c>
      <c r="B40" s="145"/>
      <c r="C40" s="145"/>
      <c r="D40" s="29"/>
      <c r="E40" s="8">
        <f>SUM(E37:E39)</f>
        <v>410242.05916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7" t="s">
        <v>307</v>
      </c>
      <c r="B41" s="38"/>
      <c r="C41" s="39"/>
      <c r="D41" s="8" t="s">
        <v>296</v>
      </c>
      <c r="E41" s="103">
        <f>E40/A12/12</f>
        <v>11.270138545306695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6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6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296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23:C23"/>
    <mergeCell ref="A18:C18"/>
    <mergeCell ref="A20:C20"/>
    <mergeCell ref="A21:C21"/>
    <mergeCell ref="A22:C22"/>
    <mergeCell ref="A6:E6"/>
    <mergeCell ref="A10:E10"/>
    <mergeCell ref="A14:A16"/>
    <mergeCell ref="C14:C16"/>
    <mergeCell ref="A24:D24"/>
    <mergeCell ref="A25:C25"/>
    <mergeCell ref="A26:C26"/>
    <mergeCell ref="A27:C27"/>
    <mergeCell ref="A28:C28"/>
    <mergeCell ref="A29:C29"/>
    <mergeCell ref="A30:C30"/>
    <mergeCell ref="A31:C31"/>
    <mergeCell ref="A33:C33"/>
    <mergeCell ref="A40:C40"/>
    <mergeCell ref="A35:C35"/>
    <mergeCell ref="A37:C37"/>
    <mergeCell ref="A38:C38"/>
    <mergeCell ref="A39:B39"/>
  </mergeCells>
  <printOptions/>
  <pageMargins left="0.75" right="0.29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E27" sqref="E27"/>
    </sheetView>
  </sheetViews>
  <sheetFormatPr defaultColWidth="9.00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4" ht="15">
      <c r="C3" s="54" t="s">
        <v>277</v>
      </c>
      <c r="D3" s="54"/>
    </row>
    <row r="4" spans="3:4" ht="15">
      <c r="C4" s="54" t="s">
        <v>278</v>
      </c>
      <c r="D4" s="54"/>
    </row>
    <row r="6" spans="6:15" ht="22.5" customHeigh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" customHeight="1">
      <c r="A7" s="170" t="s">
        <v>321</v>
      </c>
      <c r="B7" s="171"/>
      <c r="C7" s="171"/>
      <c r="D7" s="171"/>
      <c r="E7" s="17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1666.9</v>
      </c>
      <c r="B12" s="48">
        <v>170.4</v>
      </c>
      <c r="C12" s="48">
        <v>1250</v>
      </c>
      <c r="D12" s="48">
        <v>470</v>
      </c>
      <c r="E12" s="6">
        <v>1025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49" t="s">
        <v>525</v>
      </c>
      <c r="C14" s="134" t="s">
        <v>526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87"/>
      <c r="B15" t="s">
        <v>527</v>
      </c>
      <c r="C15" s="188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72"/>
      <c r="B16" s="49" t="s">
        <v>522</v>
      </c>
      <c r="C16" s="17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24" t="s">
        <v>293</v>
      </c>
      <c r="B18" s="125"/>
      <c r="C18" s="125"/>
      <c r="D18" s="46"/>
      <c r="E18" s="47" t="s">
        <v>297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294</v>
      </c>
      <c r="B19" s="41"/>
      <c r="C19" s="41"/>
      <c r="D19" s="42"/>
      <c r="E19" s="23">
        <f>E21+E22+E23+E24</f>
        <v>93853.15920000001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6" t="s">
        <v>305</v>
      </c>
      <c r="B20" s="120"/>
      <c r="C20" s="120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21" t="s">
        <v>38</v>
      </c>
      <c r="B21" s="122"/>
      <c r="C21" s="122"/>
      <c r="D21" s="43"/>
      <c r="E21" s="44">
        <f>0.618*5800*1.75*1.203*12</f>
        <v>90552.6972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39</v>
      </c>
      <c r="B22" s="136"/>
      <c r="C22" s="136"/>
      <c r="D22" s="20"/>
      <c r="E22" s="25">
        <f>0.025*A12*12</f>
        <v>500.07000000000005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40</v>
      </c>
      <c r="B23" s="136"/>
      <c r="C23" s="136"/>
      <c r="D23" s="20"/>
      <c r="E23" s="25">
        <f>0.01*A12*12</f>
        <v>200.02800000000002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>
      <c r="A24" s="135" t="s">
        <v>41</v>
      </c>
      <c r="B24" s="136"/>
      <c r="C24" s="136"/>
      <c r="D24" s="137"/>
      <c r="E24" s="26">
        <f>0.13*A12*12</f>
        <v>2600.3640000000005</v>
      </c>
      <c r="F24" s="1"/>
      <c r="G24" s="5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8" t="s">
        <v>295</v>
      </c>
      <c r="B25" s="139"/>
      <c r="C25" s="139"/>
      <c r="D25" s="20"/>
      <c r="E25" s="18">
        <f>E26+E27+E28+E29+E31+E32+E33+E30</f>
        <v>29211.775600000004</v>
      </c>
      <c r="F25" s="1"/>
      <c r="G25" s="1"/>
      <c r="H25" s="1"/>
      <c r="I25" s="51"/>
      <c r="J25" s="1"/>
      <c r="K25" s="1"/>
      <c r="L25" s="1"/>
      <c r="M25" s="1"/>
      <c r="N25" s="1"/>
      <c r="O25" s="1"/>
    </row>
    <row r="26" spans="1:15" ht="12.75" customHeight="1">
      <c r="A26" s="135" t="s">
        <v>42</v>
      </c>
      <c r="B26" s="136"/>
      <c r="C26" s="136"/>
      <c r="D26" s="20"/>
      <c r="E26" s="25">
        <f>57*1.5*101.01</f>
        <v>8636.355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43</v>
      </c>
      <c r="B27" s="136"/>
      <c r="C27" s="136"/>
      <c r="D27" s="20"/>
      <c r="E27" s="25">
        <f>57*1.5*38.06</f>
        <v>3254.13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44</v>
      </c>
      <c r="B28" s="136"/>
      <c r="C28" s="136"/>
      <c r="D28" s="20"/>
      <c r="E28" s="26">
        <f>2600*2.89</f>
        <v>7514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528</v>
      </c>
      <c r="B29" s="136"/>
      <c r="C29" s="136"/>
      <c r="D29" s="20"/>
      <c r="E29" s="25">
        <f>0.002*A12*12</f>
        <v>40.0056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45</v>
      </c>
      <c r="B30" s="136"/>
      <c r="C30" s="136"/>
      <c r="D30" s="20"/>
      <c r="E30" s="25">
        <f>1.61*582.9</f>
        <v>938.469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35" t="s">
        <v>46</v>
      </c>
      <c r="B31" s="136"/>
      <c r="C31" s="136"/>
      <c r="D31" s="20"/>
      <c r="E31" s="25">
        <f>0.32*A12*12</f>
        <v>6400.896000000001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35" t="s">
        <v>47</v>
      </c>
      <c r="B32" s="136"/>
      <c r="C32" s="136"/>
      <c r="D32" s="20"/>
      <c r="E32" s="26">
        <f>31*6.08+31*18.06*4</f>
        <v>2427.92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27" t="s">
        <v>308</v>
      </c>
      <c r="B33" s="28" t="s">
        <v>327</v>
      </c>
      <c r="C33" s="28"/>
      <c r="D33" s="20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0" t="s">
        <v>311</v>
      </c>
      <c r="B34" s="141"/>
      <c r="C34" s="141"/>
      <c r="D34" s="29"/>
      <c r="E34" s="8">
        <v>31020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52" t="s">
        <v>324</v>
      </c>
      <c r="B35" s="53"/>
      <c r="C35" s="53" t="s">
        <v>48</v>
      </c>
      <c r="D35" s="29"/>
      <c r="E35" s="18">
        <f>0.78*A12*12</f>
        <v>15602.184000000001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2" t="s">
        <v>515</v>
      </c>
      <c r="B36" s="143"/>
      <c r="C36" s="143"/>
      <c r="D36" s="29" t="s">
        <v>49</v>
      </c>
      <c r="E36" s="18">
        <f>2.04*A12*12</f>
        <v>40805.712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35" t="s">
        <v>314</v>
      </c>
      <c r="B37" s="36"/>
      <c r="C37" s="36" t="s">
        <v>529</v>
      </c>
      <c r="D37" s="37"/>
      <c r="E37" s="8">
        <f>0.003*A12*12</f>
        <v>60.0084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4" t="s">
        <v>315</v>
      </c>
      <c r="B38" s="145"/>
      <c r="C38" s="145"/>
      <c r="D38" s="29"/>
      <c r="E38" s="8">
        <f>E37+E36+E35+E34+E25+E19</f>
        <v>210552.83920000002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46" t="s">
        <v>385</v>
      </c>
      <c r="B39" s="147"/>
      <c r="C39" s="147"/>
      <c r="D39" s="29"/>
      <c r="E39" s="19">
        <f>E38*0.06</f>
        <v>12633.170352000001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77" t="s">
        <v>561</v>
      </c>
      <c r="B40" s="178"/>
      <c r="C40" s="117"/>
      <c r="D40" s="29"/>
      <c r="E40" s="19">
        <f>A12*11.27*12*0.01</f>
        <v>2254.31556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44" t="s">
        <v>316</v>
      </c>
      <c r="B41" s="145"/>
      <c r="C41" s="145"/>
      <c r="D41" s="29"/>
      <c r="E41" s="8">
        <f>SUM(E38:E40)</f>
        <v>225440.32511200002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7" t="s">
        <v>307</v>
      </c>
      <c r="B42" s="38"/>
      <c r="C42" s="39"/>
      <c r="D42" s="8" t="s">
        <v>296</v>
      </c>
      <c r="E42" s="103">
        <f>E41/A12/12</f>
        <v>11.27043839422481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0"/>
      <c r="B43" s="11"/>
      <c r="C43" s="12"/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1"/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296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24">
    <mergeCell ref="A40:B40"/>
    <mergeCell ref="A41:C41"/>
    <mergeCell ref="A7:E7"/>
    <mergeCell ref="A34:C34"/>
    <mergeCell ref="A36:C36"/>
    <mergeCell ref="A38:C38"/>
    <mergeCell ref="A39:C39"/>
    <mergeCell ref="A31:C31"/>
    <mergeCell ref="A32:C32"/>
    <mergeCell ref="A27:C27"/>
    <mergeCell ref="A30:C30"/>
    <mergeCell ref="A23:C23"/>
    <mergeCell ref="A24:D24"/>
    <mergeCell ref="A25:C25"/>
    <mergeCell ref="A26:C26"/>
    <mergeCell ref="A20:C20"/>
    <mergeCell ref="A21:C21"/>
    <mergeCell ref="A22:C22"/>
    <mergeCell ref="A29:C29"/>
    <mergeCell ref="A28:C28"/>
    <mergeCell ref="A10:E10"/>
    <mergeCell ref="A14:A16"/>
    <mergeCell ref="C14:C16"/>
    <mergeCell ref="A18:C1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40" sqref="A40:F40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278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531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2.75">
      <c r="A10" s="129" t="s">
        <v>299</v>
      </c>
      <c r="B10" s="130"/>
      <c r="C10" s="130"/>
      <c r="D10" s="130"/>
      <c r="E10" s="131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4.25">
      <c r="A12" s="50">
        <v>2476.1</v>
      </c>
      <c r="B12" s="48">
        <v>202</v>
      </c>
      <c r="C12" s="48">
        <v>729</v>
      </c>
      <c r="D12" s="48"/>
      <c r="E12" s="6">
        <v>2120</v>
      </c>
    </row>
    <row r="13" spans="1:5" ht="14.25">
      <c r="A13" s="3"/>
      <c r="B13" s="1"/>
      <c r="C13" s="1"/>
      <c r="D13" s="1"/>
      <c r="E13" s="1"/>
    </row>
    <row r="14" spans="1:5" ht="12.75">
      <c r="A14" s="132" t="s">
        <v>304</v>
      </c>
      <c r="B14" s="49" t="s">
        <v>532</v>
      </c>
      <c r="C14" s="134" t="s">
        <v>533</v>
      </c>
      <c r="D14" s="21"/>
      <c r="E14" s="1"/>
    </row>
    <row r="15" spans="1:5" ht="12.75">
      <c r="A15" s="172"/>
      <c r="B15" s="49" t="s">
        <v>534</v>
      </c>
      <c r="C15" s="172"/>
      <c r="D15" s="1"/>
      <c r="E15" s="1"/>
    </row>
    <row r="16" spans="1:5" ht="12.75">
      <c r="A16" s="68"/>
      <c r="B16" s="65"/>
      <c r="C16" s="68"/>
      <c r="D16" s="1"/>
      <c r="E16" s="1"/>
    </row>
    <row r="17" spans="1:5" ht="12.75">
      <c r="A17" s="4"/>
      <c r="B17" s="1"/>
      <c r="C17" s="1"/>
      <c r="D17" s="1"/>
      <c r="E17" s="1"/>
    </row>
    <row r="18" spans="1:6" ht="12.75">
      <c r="A18" s="124" t="s">
        <v>293</v>
      </c>
      <c r="B18" s="125"/>
      <c r="C18" s="125"/>
      <c r="D18" s="46"/>
      <c r="E18" s="47" t="s">
        <v>297</v>
      </c>
      <c r="F18" s="101" t="s">
        <v>407</v>
      </c>
    </row>
    <row r="19" spans="1:6" ht="12.75">
      <c r="A19" s="40" t="s">
        <v>294</v>
      </c>
      <c r="B19" s="41"/>
      <c r="C19" s="41"/>
      <c r="D19" s="42"/>
      <c r="E19" s="23">
        <f>E21+E22+E23+E24</f>
        <v>49885.9758</v>
      </c>
      <c r="F19" s="102">
        <f>F21+F22+F23+F24</f>
        <v>1.6789162998263396</v>
      </c>
    </row>
    <row r="20" spans="1:6" ht="12.75">
      <c r="A20" s="126" t="s">
        <v>305</v>
      </c>
      <c r="B20" s="120"/>
      <c r="C20" s="120"/>
      <c r="D20" s="45"/>
      <c r="E20" s="20"/>
      <c r="F20" s="100"/>
    </row>
    <row r="21" spans="1:6" ht="12.75">
      <c r="A21" s="121" t="s">
        <v>53</v>
      </c>
      <c r="B21" s="122"/>
      <c r="C21" s="122"/>
      <c r="D21" s="43"/>
      <c r="E21" s="44">
        <f>0.307*5800*1.75*1.203*12</f>
        <v>44983.2978</v>
      </c>
      <c r="F21" s="100">
        <f>E21/A12/12</f>
        <v>1.5139162998263398</v>
      </c>
    </row>
    <row r="22" spans="1:6" ht="12.75">
      <c r="A22" s="135" t="s">
        <v>51</v>
      </c>
      <c r="B22" s="136"/>
      <c r="C22" s="136"/>
      <c r="D22" s="20"/>
      <c r="E22" s="25">
        <f>0.025*A12*12</f>
        <v>742.83</v>
      </c>
      <c r="F22" s="100">
        <f>E22/A12/12</f>
        <v>0.025000000000000005</v>
      </c>
    </row>
    <row r="23" spans="1:6" ht="12.75">
      <c r="A23" s="135" t="s">
        <v>52</v>
      </c>
      <c r="B23" s="136"/>
      <c r="C23" s="136"/>
      <c r="D23" s="20"/>
      <c r="E23" s="25">
        <f>0.01*A12*12</f>
        <v>297.132</v>
      </c>
      <c r="F23" s="100">
        <f>E23/A12/12</f>
        <v>0.01</v>
      </c>
    </row>
    <row r="24" spans="1:6" ht="12.75">
      <c r="A24" s="135" t="s">
        <v>54</v>
      </c>
      <c r="B24" s="136"/>
      <c r="C24" s="136"/>
      <c r="D24" s="137"/>
      <c r="E24" s="26">
        <f>0.13*A12*12</f>
        <v>3862.7159999999994</v>
      </c>
      <c r="F24" s="100">
        <f>E24/A12/12</f>
        <v>0.12999999999999998</v>
      </c>
    </row>
    <row r="25" spans="1:6" ht="12.75">
      <c r="A25" s="138" t="s">
        <v>295</v>
      </c>
      <c r="B25" s="139"/>
      <c r="C25" s="139"/>
      <c r="D25" s="20"/>
      <c r="E25" s="18">
        <f>E26+E27+E28+E29+E31+E33+E32+E30</f>
        <v>37523.6114</v>
      </c>
      <c r="F25" s="102">
        <f>F26+F27+F28+F29+F30+F31+F32</f>
        <v>1.2628599881534135</v>
      </c>
    </row>
    <row r="26" spans="1:6" ht="12.75">
      <c r="A26" s="135" t="s">
        <v>55</v>
      </c>
      <c r="B26" s="136"/>
      <c r="C26" s="136"/>
      <c r="D26" s="20"/>
      <c r="E26" s="25">
        <f>76*1.5*101.01</f>
        <v>11515.140000000001</v>
      </c>
      <c r="F26" s="100">
        <f>E26/A12/12</f>
        <v>0.38754291022171966</v>
      </c>
    </row>
    <row r="27" spans="1:6" ht="12.75">
      <c r="A27" s="135" t="s">
        <v>67</v>
      </c>
      <c r="B27" s="136"/>
      <c r="C27" s="136"/>
      <c r="D27" s="20"/>
      <c r="E27" s="25">
        <f>1.5*76*38.06</f>
        <v>4338.84</v>
      </c>
      <c r="F27" s="100">
        <f>E27/A12/12</f>
        <v>0.14602398933807198</v>
      </c>
    </row>
    <row r="28" spans="1:6" ht="12.75">
      <c r="A28" s="135" t="s">
        <v>50</v>
      </c>
      <c r="B28" s="136"/>
      <c r="C28" s="136"/>
      <c r="D28" s="20"/>
      <c r="E28" s="26">
        <f>3750*2.89</f>
        <v>10837.5</v>
      </c>
      <c r="F28" s="100">
        <f>E28/A12/12</f>
        <v>0.36473688461693793</v>
      </c>
    </row>
    <row r="29" spans="1:6" ht="12.75">
      <c r="A29" s="135" t="s">
        <v>535</v>
      </c>
      <c r="B29" s="136"/>
      <c r="C29" s="136"/>
      <c r="D29" s="20"/>
      <c r="E29" s="25">
        <f>0.002*A12*12</f>
        <v>59.426399999999994</v>
      </c>
      <c r="F29" s="100">
        <f>E29/A12/12</f>
        <v>0.0019999999999999996</v>
      </c>
    </row>
    <row r="30" spans="1:6" ht="12.75">
      <c r="A30" s="135" t="s">
        <v>56</v>
      </c>
      <c r="B30" s="136"/>
      <c r="C30" s="136"/>
      <c r="D30" s="20"/>
      <c r="E30" s="25">
        <f>1.61*672.1</f>
        <v>1082.0810000000001</v>
      </c>
      <c r="F30" s="100">
        <f>E30/A12/12</f>
        <v>0.03641751814008589</v>
      </c>
    </row>
    <row r="31" spans="1:6" ht="12.75">
      <c r="A31" s="135" t="s">
        <v>57</v>
      </c>
      <c r="B31" s="136"/>
      <c r="C31" s="136"/>
      <c r="D31" s="20"/>
      <c r="E31" s="25">
        <f>0.32*A12*12</f>
        <v>9508.224</v>
      </c>
      <c r="F31" s="100">
        <f>E31/A12/12</f>
        <v>0.32</v>
      </c>
    </row>
    <row r="32" spans="1:6" ht="12.75" customHeight="1">
      <c r="A32" s="135" t="s">
        <v>58</v>
      </c>
      <c r="B32" s="136"/>
      <c r="C32" s="136"/>
      <c r="D32" s="20"/>
      <c r="E32" s="25">
        <f>30*6.08</f>
        <v>182.4</v>
      </c>
      <c r="F32" s="100">
        <f>E32/A12/12</f>
        <v>0.006138685836597876</v>
      </c>
    </row>
    <row r="33" spans="1:6" ht="12.75">
      <c r="A33" s="27" t="s">
        <v>308</v>
      </c>
      <c r="B33" s="28" t="s">
        <v>327</v>
      </c>
      <c r="C33" s="28"/>
      <c r="D33" s="20"/>
      <c r="E33" s="5"/>
      <c r="F33" s="100"/>
    </row>
    <row r="34" spans="1:6" ht="12.75">
      <c r="A34" s="140" t="s">
        <v>311</v>
      </c>
      <c r="B34" s="141"/>
      <c r="C34" s="141"/>
      <c r="D34" s="29"/>
      <c r="E34" s="8">
        <v>141461</v>
      </c>
      <c r="F34" s="102">
        <f>E34/A12/12</f>
        <v>4.760880686025066</v>
      </c>
    </row>
    <row r="35" spans="1:6" ht="12.75">
      <c r="A35" s="52" t="s">
        <v>324</v>
      </c>
      <c r="B35" s="53"/>
      <c r="C35" s="53" t="s">
        <v>59</v>
      </c>
      <c r="D35" s="29"/>
      <c r="E35" s="18">
        <f>0.78*A12*12</f>
        <v>23176.296</v>
      </c>
      <c r="F35" s="102">
        <f>E35/A12/12</f>
        <v>0.7799999999999999</v>
      </c>
    </row>
    <row r="36" spans="1:6" ht="12.75">
      <c r="A36" s="142" t="s">
        <v>60</v>
      </c>
      <c r="B36" s="143"/>
      <c r="C36" s="143"/>
      <c r="D36" s="29"/>
      <c r="E36" s="18">
        <f>2.04*A12*12</f>
        <v>60614.928</v>
      </c>
      <c r="F36" s="102">
        <f>E36/A12/12</f>
        <v>2.04</v>
      </c>
    </row>
    <row r="37" spans="1:6" ht="12.75">
      <c r="A37" s="35" t="s">
        <v>284</v>
      </c>
      <c r="B37" s="36"/>
      <c r="C37" s="36" t="s">
        <v>536</v>
      </c>
      <c r="D37" s="37"/>
      <c r="E37" s="8">
        <f>0.003*A12*12</f>
        <v>89.1396</v>
      </c>
      <c r="F37" s="102">
        <f>E37/A12/12</f>
        <v>0.0030000000000000005</v>
      </c>
    </row>
    <row r="38" spans="1:6" ht="12.75">
      <c r="A38" s="144" t="s">
        <v>367</v>
      </c>
      <c r="B38" s="145"/>
      <c r="C38" s="145"/>
      <c r="D38" s="29"/>
      <c r="E38" s="8">
        <f>E37+E36+E35+E34+E25+E19</f>
        <v>312750.9508</v>
      </c>
      <c r="F38" s="102">
        <f>E38/A12/12</f>
        <v>10.52565697400482</v>
      </c>
    </row>
    <row r="39" spans="1:6" ht="12.75" customHeight="1">
      <c r="A39" s="146" t="s">
        <v>398</v>
      </c>
      <c r="B39" s="147"/>
      <c r="C39" s="147"/>
      <c r="D39" s="29"/>
      <c r="E39" s="19">
        <f>E38*0.06</f>
        <v>18765.057048</v>
      </c>
      <c r="F39" s="102">
        <f>E39/A12/12</f>
        <v>0.6315394184402892</v>
      </c>
    </row>
    <row r="40" spans="1:6" ht="12.75" customHeight="1">
      <c r="A40" s="177" t="s">
        <v>561</v>
      </c>
      <c r="B40" s="178"/>
      <c r="C40" s="117"/>
      <c r="D40" s="29"/>
      <c r="E40" s="19">
        <f>A12*11.27*12*0.01</f>
        <v>3348.67764</v>
      </c>
      <c r="F40" s="102">
        <f>E40/A12/12</f>
        <v>0.11270000000000001</v>
      </c>
    </row>
    <row r="41" spans="1:6" ht="12.75">
      <c r="A41" s="144" t="s">
        <v>316</v>
      </c>
      <c r="B41" s="145"/>
      <c r="C41" s="145"/>
      <c r="D41" s="29"/>
      <c r="E41" s="8">
        <f>SUM(E38:E40)</f>
        <v>334864.685488</v>
      </c>
      <c r="F41" s="102">
        <f>SUM(F38:F40)</f>
        <v>11.269896392445109</v>
      </c>
    </row>
    <row r="42" spans="1:6" ht="12.75">
      <c r="A42" s="7" t="s">
        <v>307</v>
      </c>
      <c r="B42" s="38"/>
      <c r="C42" s="39"/>
      <c r="D42" s="8" t="s">
        <v>296</v>
      </c>
      <c r="E42" s="103">
        <f>E41/A12/12</f>
        <v>11.26989639244511</v>
      </c>
      <c r="F42" s="102">
        <f>F19+F25+F34+F35+F36+F39+F37+F40</f>
        <v>11.269896392445107</v>
      </c>
    </row>
    <row r="43" spans="1:5" ht="12.75">
      <c r="A43" s="10"/>
      <c r="B43" s="11"/>
      <c r="C43" s="12"/>
      <c r="D43" s="12"/>
      <c r="E43" s="1"/>
    </row>
  </sheetData>
  <mergeCells count="24">
    <mergeCell ref="A41:C41"/>
    <mergeCell ref="A34:C34"/>
    <mergeCell ref="A36:C36"/>
    <mergeCell ref="A38:C38"/>
    <mergeCell ref="A39:C39"/>
    <mergeCell ref="A40:B40"/>
    <mergeCell ref="A31:C31"/>
    <mergeCell ref="A32:C32"/>
    <mergeCell ref="A27:C27"/>
    <mergeCell ref="A28:C28"/>
    <mergeCell ref="A29:C29"/>
    <mergeCell ref="A30:C30"/>
    <mergeCell ref="A23:C23"/>
    <mergeCell ref="A24:D24"/>
    <mergeCell ref="A25:C25"/>
    <mergeCell ref="A26:C26"/>
    <mergeCell ref="A18:C18"/>
    <mergeCell ref="A20:C20"/>
    <mergeCell ref="A21:C21"/>
    <mergeCell ref="A22:C22"/>
    <mergeCell ref="A6:E6"/>
    <mergeCell ref="A10:E10"/>
    <mergeCell ref="A14:A15"/>
    <mergeCell ref="C14:C1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43" sqref="A43:C43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  <col min="6" max="6" width="10.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399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2480.2</v>
      </c>
      <c r="B13" s="48">
        <v>212.2</v>
      </c>
      <c r="C13" s="48">
        <v>923</v>
      </c>
      <c r="D13" s="48"/>
      <c r="E13" s="6">
        <v>1929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400</v>
      </c>
      <c r="C15" s="134" t="s">
        <v>401</v>
      </c>
      <c r="D15" s="21"/>
      <c r="E15" s="1"/>
    </row>
    <row r="16" spans="1:5" ht="12.75">
      <c r="A16" s="172"/>
      <c r="B16" s="49" t="s">
        <v>402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6" ht="22.5" customHeight="1">
      <c r="A19" s="124" t="s">
        <v>293</v>
      </c>
      <c r="B19" s="125"/>
      <c r="C19" s="125"/>
      <c r="D19" s="46"/>
      <c r="E19" s="47" t="s">
        <v>297</v>
      </c>
      <c r="F19" s="101" t="s">
        <v>407</v>
      </c>
    </row>
    <row r="20" spans="1:6" ht="12.75">
      <c r="A20" s="40" t="s">
        <v>294</v>
      </c>
      <c r="B20" s="41"/>
      <c r="C20" s="41"/>
      <c r="D20" s="42"/>
      <c r="E20" s="23">
        <f>E22+E24+E25+E26</f>
        <v>49894.0938</v>
      </c>
      <c r="F20" s="102">
        <f>F22+F24+F25+F26</f>
        <v>1.6764136561567615</v>
      </c>
    </row>
    <row r="21" spans="1:6" ht="12.75">
      <c r="A21" s="126" t="s">
        <v>305</v>
      </c>
      <c r="B21" s="120"/>
      <c r="C21" s="120"/>
      <c r="D21" s="45"/>
      <c r="E21" s="20"/>
      <c r="F21" s="100"/>
    </row>
    <row r="22" spans="1:6" ht="12.75">
      <c r="A22" s="121" t="s">
        <v>61</v>
      </c>
      <c r="B22" s="122"/>
      <c r="C22" s="122"/>
      <c r="D22" s="43"/>
      <c r="E22" s="44">
        <f>0.307*5800*1.75*1.203*12</f>
        <v>44983.2978</v>
      </c>
      <c r="F22" s="100">
        <f>E22/A13/12</f>
        <v>1.5114136561567617</v>
      </c>
    </row>
    <row r="23" spans="1:6" ht="12.75">
      <c r="A23" s="98" t="s">
        <v>406</v>
      </c>
      <c r="B23" s="99"/>
      <c r="C23" s="99"/>
      <c r="D23" s="43"/>
      <c r="E23" s="44"/>
      <c r="F23" s="100"/>
    </row>
    <row r="24" spans="1:6" ht="12.75">
      <c r="A24" s="135" t="s">
        <v>62</v>
      </c>
      <c r="B24" s="136"/>
      <c r="C24" s="136"/>
      <c r="D24" s="20"/>
      <c r="E24" s="25">
        <f>0.025*A13*12</f>
        <v>744.06</v>
      </c>
      <c r="F24" s="100">
        <f>E24/A13/12</f>
        <v>0.024999999999999998</v>
      </c>
    </row>
    <row r="25" spans="1:6" ht="12.75">
      <c r="A25" s="135" t="s">
        <v>63</v>
      </c>
      <c r="B25" s="136"/>
      <c r="C25" s="136"/>
      <c r="D25" s="20"/>
      <c r="E25" s="25">
        <f>0.01*A13*12</f>
        <v>297.624</v>
      </c>
      <c r="F25" s="100">
        <f>E25/A13/12</f>
        <v>0.010000000000000002</v>
      </c>
    </row>
    <row r="26" spans="1:6" ht="12.75">
      <c r="A26" s="135" t="s">
        <v>64</v>
      </c>
      <c r="B26" s="136"/>
      <c r="C26" s="136"/>
      <c r="D26" s="137"/>
      <c r="E26" s="26">
        <f>0.13*A13*12</f>
        <v>3869.112</v>
      </c>
      <c r="F26" s="100">
        <f>E26/A13/12</f>
        <v>0.13</v>
      </c>
    </row>
    <row r="27" spans="1:6" ht="12.75">
      <c r="A27" s="138" t="s">
        <v>295</v>
      </c>
      <c r="B27" s="139"/>
      <c r="C27" s="139"/>
      <c r="D27" s="20"/>
      <c r="E27" s="116">
        <f>E28+E29+E30+E31+E33+E35+E34+E32</f>
        <v>41247.5838</v>
      </c>
      <c r="F27" s="102">
        <f>F28+F29+F30+F31+F32+F33+F34</f>
        <v>1.3858957543746473</v>
      </c>
    </row>
    <row r="28" spans="1:6" ht="12.75">
      <c r="A28" s="135" t="s">
        <v>65</v>
      </c>
      <c r="B28" s="136"/>
      <c r="C28" s="136"/>
      <c r="D28" s="20"/>
      <c r="E28" s="25">
        <f>82*1.5*101.01</f>
        <v>12424.230000000001</v>
      </c>
      <c r="F28" s="100">
        <f>E28/A13/12</f>
        <v>0.41744718167889694</v>
      </c>
    </row>
    <row r="29" spans="1:6" ht="12.75" customHeight="1">
      <c r="A29" s="135" t="s">
        <v>66</v>
      </c>
      <c r="B29" s="136"/>
      <c r="C29" s="136"/>
      <c r="D29" s="20"/>
      <c r="E29" s="25">
        <f>82*1.5*38.06</f>
        <v>4681.38</v>
      </c>
      <c r="F29" s="100">
        <f>E29/A13/12</f>
        <v>0.15729175066526893</v>
      </c>
    </row>
    <row r="30" spans="1:6" ht="12.75">
      <c r="A30" s="135" t="s">
        <v>68</v>
      </c>
      <c r="B30" s="136"/>
      <c r="C30" s="136"/>
      <c r="D30" s="20"/>
      <c r="E30" s="26">
        <f>4600*2.89</f>
        <v>13294</v>
      </c>
      <c r="F30" s="100">
        <f>E30/A13/12</f>
        <v>0.4466709673951026</v>
      </c>
    </row>
    <row r="31" spans="1:6" ht="12.75">
      <c r="A31" s="135" t="s">
        <v>403</v>
      </c>
      <c r="B31" s="136"/>
      <c r="C31" s="136"/>
      <c r="D31" s="20"/>
      <c r="E31" s="25">
        <f>0.002*A13*12</f>
        <v>59.5248</v>
      </c>
      <c r="F31" s="100">
        <f>E31/A13/12</f>
        <v>0.002</v>
      </c>
    </row>
    <row r="32" spans="1:6" ht="12.75">
      <c r="A32" s="135" t="s">
        <v>56</v>
      </c>
      <c r="B32" s="136"/>
      <c r="C32" s="136"/>
      <c r="D32" s="20"/>
      <c r="E32" s="25">
        <f>1.61*672.1</f>
        <v>1082.0810000000001</v>
      </c>
      <c r="F32" s="100">
        <f>E32/A13/12</f>
        <v>0.036357316614251546</v>
      </c>
    </row>
    <row r="33" spans="1:6" ht="12.75">
      <c r="A33" s="135" t="s">
        <v>69</v>
      </c>
      <c r="B33" s="136"/>
      <c r="C33" s="136"/>
      <c r="D33" s="20"/>
      <c r="E33" s="25">
        <f>0.32*A13*12</f>
        <v>9523.968</v>
      </c>
      <c r="F33" s="100">
        <f>E33/A13/12</f>
        <v>0.32000000000000006</v>
      </c>
    </row>
    <row r="34" spans="1:6" ht="12.75" customHeight="1">
      <c r="A34" s="135" t="s">
        <v>58</v>
      </c>
      <c r="B34" s="136"/>
      <c r="C34" s="136"/>
      <c r="D34" s="20"/>
      <c r="E34" s="25">
        <f>30*6.08</f>
        <v>182.4</v>
      </c>
      <c r="F34" s="100">
        <f>E34/A13/12</f>
        <v>0.006128538021127329</v>
      </c>
    </row>
    <row r="35" spans="1:6" ht="12.75">
      <c r="A35" s="27" t="s">
        <v>308</v>
      </c>
      <c r="B35" s="28" t="s">
        <v>327</v>
      </c>
      <c r="C35" s="28"/>
      <c r="D35" s="20"/>
      <c r="E35" s="5"/>
      <c r="F35" s="100"/>
    </row>
    <row r="36" spans="1:6" ht="12.75">
      <c r="A36" s="140" t="s">
        <v>311</v>
      </c>
      <c r="B36" s="141"/>
      <c r="C36" s="141"/>
      <c r="D36" s="29"/>
      <c r="E36" s="8">
        <v>138121</v>
      </c>
      <c r="F36" s="102">
        <f>E36/A13/12</f>
        <v>4.640788377281402</v>
      </c>
    </row>
    <row r="37" spans="1:6" ht="12.75">
      <c r="A37" s="52" t="s">
        <v>324</v>
      </c>
      <c r="B37" s="53"/>
      <c r="C37" s="53" t="s">
        <v>70</v>
      </c>
      <c r="D37" s="29"/>
      <c r="E37" s="18">
        <f>0.78*A13*12</f>
        <v>23214.672</v>
      </c>
      <c r="F37" s="102">
        <f>E37/A13/12</f>
        <v>0.7799999999999999</v>
      </c>
    </row>
    <row r="38" spans="1:6" ht="12.75">
      <c r="A38" s="142" t="s">
        <v>71</v>
      </c>
      <c r="B38" s="143"/>
      <c r="C38" s="143"/>
      <c r="D38" s="29"/>
      <c r="E38" s="18">
        <f>2.04*A13*12</f>
        <v>60715.29599999999</v>
      </c>
      <c r="F38" s="102">
        <f>E38/A13/12</f>
        <v>2.0399999999999996</v>
      </c>
    </row>
    <row r="39" spans="1:6" ht="12.75">
      <c r="A39" s="35" t="s">
        <v>284</v>
      </c>
      <c r="B39" s="36"/>
      <c r="C39" s="36" t="s">
        <v>404</v>
      </c>
      <c r="D39" s="37"/>
      <c r="E39" s="8">
        <f>0.003*A13*12</f>
        <v>89.2872</v>
      </c>
      <c r="F39" s="102">
        <f>E39/A13/12</f>
        <v>0.0030000000000000005</v>
      </c>
    </row>
    <row r="40" spans="1:6" ht="12.75">
      <c r="A40" s="144" t="s">
        <v>367</v>
      </c>
      <c r="B40" s="145"/>
      <c r="C40" s="145"/>
      <c r="D40" s="29"/>
      <c r="E40" s="8">
        <f>E39+E38+E37+E36+E27+E20</f>
        <v>313281.93279999995</v>
      </c>
      <c r="F40" s="102">
        <f>E40/A13/12</f>
        <v>10.52609778781281</v>
      </c>
    </row>
    <row r="41" spans="1:6" ht="12.75" customHeight="1">
      <c r="A41" s="146" t="s">
        <v>398</v>
      </c>
      <c r="B41" s="147"/>
      <c r="C41" s="147"/>
      <c r="D41" s="29"/>
      <c r="E41" s="19">
        <f>E40*0.06</f>
        <v>18796.915967999998</v>
      </c>
      <c r="F41" s="102">
        <f>E41/A13/12</f>
        <v>0.6315658672687686</v>
      </c>
    </row>
    <row r="42" spans="1:6" ht="12.75" customHeight="1">
      <c r="A42" s="177" t="s">
        <v>83</v>
      </c>
      <c r="B42" s="178"/>
      <c r="C42" s="117"/>
      <c r="D42" s="29"/>
      <c r="E42" s="19">
        <f>A13*11.27*12*0.01</f>
        <v>3354.22248</v>
      </c>
      <c r="F42" s="102">
        <f>E42/A13/12</f>
        <v>0.11270000000000001</v>
      </c>
    </row>
    <row r="43" spans="1:6" ht="12.75">
      <c r="A43" s="144" t="s">
        <v>316</v>
      </c>
      <c r="B43" s="145"/>
      <c r="C43" s="145"/>
      <c r="D43" s="29"/>
      <c r="E43" s="8">
        <f>SUM(E40:E42)</f>
        <v>335433.07124799996</v>
      </c>
      <c r="F43" s="102">
        <f>SUM(F40:F42)</f>
        <v>11.27036365508158</v>
      </c>
    </row>
    <row r="44" spans="1:6" ht="12.75">
      <c r="A44" s="7" t="s">
        <v>307</v>
      </c>
      <c r="B44" s="38"/>
      <c r="C44" s="39"/>
      <c r="D44" s="8" t="s">
        <v>296</v>
      </c>
      <c r="E44" s="55">
        <f>E43/A13/12</f>
        <v>11.27036365508158</v>
      </c>
      <c r="F44" s="102">
        <f>F20+F27+F36+F37+F38+F39+F41+F42</f>
        <v>11.27036365508158</v>
      </c>
    </row>
    <row r="45" spans="1:5" ht="12.75">
      <c r="A45" s="10"/>
      <c r="B45" s="11"/>
      <c r="C45" s="12"/>
      <c r="D45" s="12"/>
      <c r="E45" s="1"/>
    </row>
  </sheetData>
  <mergeCells count="24">
    <mergeCell ref="A36:C36"/>
    <mergeCell ref="A40:C40"/>
    <mergeCell ref="A38:C38"/>
    <mergeCell ref="A43:C43"/>
    <mergeCell ref="A41:C41"/>
    <mergeCell ref="A42:B42"/>
    <mergeCell ref="A31:C31"/>
    <mergeCell ref="A24:C24"/>
    <mergeCell ref="A25:C25"/>
    <mergeCell ref="A27:C27"/>
    <mergeCell ref="A28:C28"/>
    <mergeCell ref="A29:C29"/>
    <mergeCell ref="A30:C30"/>
    <mergeCell ref="A26:D26"/>
    <mergeCell ref="A33:C33"/>
    <mergeCell ref="A34:C34"/>
    <mergeCell ref="A32:C32"/>
    <mergeCell ref="A6:E6"/>
    <mergeCell ref="A19:C19"/>
    <mergeCell ref="A21:C21"/>
    <mergeCell ref="A11:E11"/>
    <mergeCell ref="A15:A16"/>
    <mergeCell ref="C15:C16"/>
    <mergeCell ref="A22:C22"/>
  </mergeCells>
  <printOptions/>
  <pageMargins left="0.75" right="0.16" top="0.28" bottom="0.25" header="0.27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38" sqref="A38:E38"/>
    </sheetView>
  </sheetViews>
  <sheetFormatPr defaultColWidth="9.00390625" defaultRowHeight="12.75"/>
  <cols>
    <col min="1" max="1" width="18.00390625" style="70" customWidth="1"/>
    <col min="2" max="2" width="18.375" style="70" customWidth="1"/>
    <col min="3" max="3" width="16.00390625" style="70" customWidth="1"/>
    <col min="4" max="4" width="15.125" style="70" customWidth="1"/>
    <col min="5" max="5" width="13.625" style="70" customWidth="1"/>
    <col min="6" max="16384" width="9.125" style="70" customWidth="1"/>
  </cols>
  <sheetData>
    <row r="1" s="69" customFormat="1" ht="12.75">
      <c r="C1" s="69" t="s">
        <v>310</v>
      </c>
    </row>
    <row r="2" s="69" customFormat="1" ht="12.75">
      <c r="C2" s="69" t="s">
        <v>408</v>
      </c>
    </row>
    <row r="3" s="69" customFormat="1" ht="12.75">
      <c r="C3" s="69" t="s">
        <v>278</v>
      </c>
    </row>
    <row r="4" s="69" customFormat="1" ht="12.75"/>
    <row r="5" s="69" customFormat="1" ht="12.75"/>
    <row r="6" spans="1:5" ht="15.75">
      <c r="A6" s="127" t="s">
        <v>547</v>
      </c>
      <c r="B6" s="128"/>
      <c r="C6" s="128"/>
      <c r="D6" s="128"/>
      <c r="E6" s="128"/>
    </row>
    <row r="7" spans="1:5" ht="12.75">
      <c r="A7" s="71" t="s">
        <v>296</v>
      </c>
      <c r="B7" s="71"/>
      <c r="C7" s="51"/>
      <c r="D7" s="51"/>
      <c r="E7" s="51"/>
    </row>
    <row r="8" spans="1:5" ht="15">
      <c r="A8" s="94" t="s">
        <v>340</v>
      </c>
      <c r="B8" s="51"/>
      <c r="C8" s="51"/>
      <c r="D8" s="51"/>
      <c r="E8" s="51"/>
    </row>
    <row r="9" spans="1:5" ht="15">
      <c r="A9" s="94"/>
      <c r="B9" s="51"/>
      <c r="C9" s="51"/>
      <c r="D9" s="51"/>
      <c r="E9" s="51"/>
    </row>
    <row r="10" spans="1:5" ht="12.75">
      <c r="A10" s="150" t="s">
        <v>299</v>
      </c>
      <c r="B10" s="151"/>
      <c r="C10" s="151"/>
      <c r="D10" s="151"/>
      <c r="E10" s="152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7.25" customHeight="1">
      <c r="A12" s="72">
        <v>3174.4</v>
      </c>
      <c r="B12" s="73">
        <v>296</v>
      </c>
      <c r="C12" s="73">
        <v>1079.6</v>
      </c>
      <c r="D12" s="73"/>
      <c r="E12" s="73">
        <v>3603.4</v>
      </c>
    </row>
    <row r="13" spans="1:5" ht="12.75">
      <c r="A13" s="4"/>
      <c r="B13" s="51"/>
      <c r="C13" s="51"/>
      <c r="D13" s="51"/>
      <c r="E13" s="51"/>
    </row>
    <row r="14" spans="1:5" ht="12.75">
      <c r="A14" s="153" t="s">
        <v>304</v>
      </c>
      <c r="B14" s="9" t="s">
        <v>337</v>
      </c>
      <c r="C14" s="134" t="s">
        <v>339</v>
      </c>
      <c r="D14" s="21"/>
      <c r="E14" s="51"/>
    </row>
    <row r="15" spans="1:5" ht="12.75">
      <c r="A15" s="154"/>
      <c r="B15" s="9" t="s">
        <v>338</v>
      </c>
      <c r="C15" s="123"/>
      <c r="D15" s="74"/>
      <c r="E15" s="51"/>
    </row>
    <row r="16" spans="1:5" ht="12.75">
      <c r="A16" s="4"/>
      <c r="B16" s="51"/>
      <c r="C16" s="51"/>
      <c r="D16" s="51"/>
      <c r="E16" s="51"/>
    </row>
    <row r="17" spans="1:5" ht="12.75">
      <c r="A17" s="155" t="s">
        <v>293</v>
      </c>
      <c r="B17" s="156"/>
      <c r="C17" s="156"/>
      <c r="D17" s="46"/>
      <c r="E17" s="75" t="s">
        <v>297</v>
      </c>
    </row>
    <row r="18" spans="1:5" ht="12.75">
      <c r="A18" s="76" t="s">
        <v>294</v>
      </c>
      <c r="B18" s="77"/>
      <c r="C18" s="77"/>
      <c r="D18" s="78"/>
      <c r="E18" s="79">
        <f>E20+E21+E22+E23</f>
        <v>75152.25</v>
      </c>
    </row>
    <row r="19" spans="1:5" ht="12.75">
      <c r="A19" s="157" t="s">
        <v>305</v>
      </c>
      <c r="B19" s="158"/>
      <c r="C19" s="158"/>
      <c r="D19" s="80"/>
      <c r="E19" s="81"/>
    </row>
    <row r="20" spans="1:5" ht="12.75">
      <c r="A20" s="159" t="s">
        <v>573</v>
      </c>
      <c r="B20" s="160"/>
      <c r="C20" s="160"/>
      <c r="D20" s="82"/>
      <c r="E20" s="44">
        <f>0.47*5800*1.75*1.203*12</f>
        <v>68866.938</v>
      </c>
    </row>
    <row r="21" spans="1:5" ht="12.75" customHeight="1">
      <c r="A21" s="135" t="s">
        <v>574</v>
      </c>
      <c r="B21" s="136"/>
      <c r="C21" s="136"/>
      <c r="D21" s="20"/>
      <c r="E21" s="25">
        <f>0.025*A12*12</f>
        <v>952.3200000000002</v>
      </c>
    </row>
    <row r="22" spans="1:5" ht="12.75" customHeight="1">
      <c r="A22" s="135" t="s">
        <v>575</v>
      </c>
      <c r="B22" s="136"/>
      <c r="C22" s="136"/>
      <c r="D22" s="20"/>
      <c r="E22" s="25">
        <f>0.01*A12*12</f>
        <v>380.92800000000005</v>
      </c>
    </row>
    <row r="23" spans="1:5" ht="12.75" customHeight="1">
      <c r="A23" s="135" t="s">
        <v>576</v>
      </c>
      <c r="B23" s="136"/>
      <c r="C23" s="136"/>
      <c r="D23" s="137"/>
      <c r="E23" s="85">
        <f>0.13*A12*12</f>
        <v>4952.064</v>
      </c>
    </row>
    <row r="24" spans="1:5" ht="12.75">
      <c r="A24" s="161" t="s">
        <v>295</v>
      </c>
      <c r="B24" s="162"/>
      <c r="C24" s="162"/>
      <c r="D24" s="86"/>
      <c r="E24" s="18">
        <f>E25+E26+E27+E28+E29+E30+E31</f>
        <v>89819.312</v>
      </c>
    </row>
    <row r="25" spans="1:5" ht="12.75">
      <c r="A25" s="163" t="s">
        <v>577</v>
      </c>
      <c r="B25" s="164"/>
      <c r="C25" s="164"/>
      <c r="D25" s="81"/>
      <c r="E25" s="25">
        <f>152*1.5*101.01</f>
        <v>23030.280000000002</v>
      </c>
    </row>
    <row r="26" spans="1:5" ht="12.75" customHeight="1">
      <c r="A26" s="135" t="s">
        <v>578</v>
      </c>
      <c r="B26" s="136"/>
      <c r="C26" s="136"/>
      <c r="D26" s="81"/>
      <c r="E26" s="25">
        <f>152*1.5*38.06</f>
        <v>8677.68</v>
      </c>
    </row>
    <row r="27" spans="1:5" ht="12.75">
      <c r="A27" s="163" t="s">
        <v>579</v>
      </c>
      <c r="B27" s="164"/>
      <c r="C27" s="164"/>
      <c r="D27" s="81"/>
      <c r="E27" s="85">
        <f>15500*2.89</f>
        <v>44795</v>
      </c>
    </row>
    <row r="28" spans="1:5" ht="12.75">
      <c r="A28" s="163" t="s">
        <v>286</v>
      </c>
      <c r="B28" s="164"/>
      <c r="C28" s="164"/>
      <c r="D28" s="81"/>
      <c r="E28" s="25">
        <f>0.02*A12*12</f>
        <v>761.8560000000001</v>
      </c>
    </row>
    <row r="29" spans="1:5" ht="12.75">
      <c r="A29" s="163" t="s">
        <v>580</v>
      </c>
      <c r="B29" s="164"/>
      <c r="C29" s="164"/>
      <c r="D29" s="81"/>
      <c r="E29" s="25">
        <f>0.32*A12*12</f>
        <v>12189.696000000002</v>
      </c>
    </row>
    <row r="30" spans="1:5" ht="12.75">
      <c r="A30" s="163" t="s">
        <v>581</v>
      </c>
      <c r="B30" s="164"/>
      <c r="C30" s="164"/>
      <c r="D30" s="81"/>
      <c r="E30" s="85">
        <f>60*6.08</f>
        <v>364.8</v>
      </c>
    </row>
    <row r="31" spans="1:5" ht="16.5" customHeight="1">
      <c r="A31" s="83" t="s">
        <v>328</v>
      </c>
      <c r="B31" s="84" t="s">
        <v>327</v>
      </c>
      <c r="C31" s="84"/>
      <c r="D31" s="81"/>
      <c r="E31" s="87"/>
    </row>
    <row r="32" spans="1:5" ht="16.5" customHeight="1">
      <c r="A32" s="140" t="s">
        <v>311</v>
      </c>
      <c r="B32" s="141"/>
      <c r="C32" s="141"/>
      <c r="D32" s="95"/>
      <c r="E32" s="96">
        <v>128440</v>
      </c>
    </row>
    <row r="33" spans="1:5" ht="12.75" customHeight="1">
      <c r="A33" s="30" t="s">
        <v>312</v>
      </c>
      <c r="B33" s="167" t="s">
        <v>582</v>
      </c>
      <c r="C33" s="167"/>
      <c r="D33" s="29"/>
      <c r="E33" s="8">
        <f>0.78*A12*12</f>
        <v>29712.384000000002</v>
      </c>
    </row>
    <row r="34" spans="1:5" ht="12.75">
      <c r="A34" s="31" t="s">
        <v>313</v>
      </c>
      <c r="B34" s="32"/>
      <c r="C34" s="33" t="s">
        <v>583</v>
      </c>
      <c r="D34" s="34"/>
      <c r="E34" s="18">
        <f>2.04*A12*12</f>
        <v>77709.312</v>
      </c>
    </row>
    <row r="35" spans="1:5" ht="12.75">
      <c r="A35" s="88" t="s">
        <v>314</v>
      </c>
      <c r="B35" s="89"/>
      <c r="C35" s="89" t="s">
        <v>336</v>
      </c>
      <c r="D35" s="90"/>
      <c r="E35" s="8">
        <f>0.003*A12*12</f>
        <v>114.2784</v>
      </c>
    </row>
    <row r="36" spans="1:5" ht="12.75">
      <c r="A36" s="165" t="s">
        <v>315</v>
      </c>
      <c r="B36" s="166"/>
      <c r="C36" s="166"/>
      <c r="D36" s="91"/>
      <c r="E36" s="8">
        <f>E35+E34+E33+E24+E18+E32</f>
        <v>400947.5364</v>
      </c>
    </row>
    <row r="37" spans="1:5" ht="12.75" customHeight="1">
      <c r="A37" s="146" t="s">
        <v>385</v>
      </c>
      <c r="B37" s="147"/>
      <c r="C37" s="147"/>
      <c r="D37" s="91"/>
      <c r="E37" s="19">
        <f>E36*0.06</f>
        <v>24056.852184</v>
      </c>
    </row>
    <row r="38" spans="1:5" ht="12.75" customHeight="1">
      <c r="A38" s="148" t="s">
        <v>561</v>
      </c>
      <c r="B38" s="149"/>
      <c r="C38" s="117"/>
      <c r="D38" s="91"/>
      <c r="E38" s="19">
        <f>A12*11.27*12*0.01</f>
        <v>4293.0585599999995</v>
      </c>
    </row>
    <row r="39" spans="1:5" ht="12.75">
      <c r="A39" s="165" t="s">
        <v>316</v>
      </c>
      <c r="B39" s="166"/>
      <c r="C39" s="166"/>
      <c r="D39" s="91"/>
      <c r="E39" s="8">
        <f>SUM(E36:E38)</f>
        <v>429297.447144</v>
      </c>
    </row>
    <row r="40" spans="1:5" ht="12.75">
      <c r="A40" s="92" t="s">
        <v>307</v>
      </c>
      <c r="B40" s="38"/>
      <c r="C40" s="39"/>
      <c r="D40" s="8"/>
      <c r="E40" s="103">
        <f>E39/A12/12</f>
        <v>11.269779253402218</v>
      </c>
    </row>
    <row r="41" spans="1:5" ht="12.75">
      <c r="A41" s="93"/>
      <c r="B41" s="11"/>
      <c r="C41" s="12"/>
      <c r="D41" s="12"/>
      <c r="E41" s="51"/>
    </row>
  </sheetData>
  <mergeCells count="23">
    <mergeCell ref="A39:C39"/>
    <mergeCell ref="B33:C33"/>
    <mergeCell ref="A32:C32"/>
    <mergeCell ref="A36:C36"/>
    <mergeCell ref="A37:C37"/>
    <mergeCell ref="A38:B38"/>
    <mergeCell ref="A29:C29"/>
    <mergeCell ref="A30:C30"/>
    <mergeCell ref="A26:C26"/>
    <mergeCell ref="A27:C27"/>
    <mergeCell ref="A28:C28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39" sqref="A39:E39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375</v>
      </c>
      <c r="B8" s="1"/>
      <c r="C8" s="1"/>
      <c r="D8" s="1"/>
      <c r="E8" s="1"/>
    </row>
    <row r="9" spans="1:5" ht="14.25">
      <c r="A9" s="3"/>
      <c r="B9" s="1"/>
      <c r="C9" s="1"/>
      <c r="D9" s="51" t="s">
        <v>376</v>
      </c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2864.5</v>
      </c>
      <c r="B13" s="48">
        <v>180</v>
      </c>
      <c r="C13" s="48">
        <v>1067.3</v>
      </c>
      <c r="D13" s="48"/>
      <c r="E13" s="6">
        <v>2723.2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370</v>
      </c>
      <c r="C15" s="134" t="s">
        <v>372</v>
      </c>
      <c r="D15" s="21"/>
      <c r="E15" s="1"/>
    </row>
    <row r="16" spans="1:5" ht="12.75">
      <c r="A16" s="172"/>
      <c r="B16" s="49" t="s">
        <v>371</v>
      </c>
      <c r="C16" s="172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24" t="s">
        <v>293</v>
      </c>
      <c r="B18" s="125"/>
      <c r="C18" s="125"/>
      <c r="D18" s="46"/>
      <c r="E18" s="47" t="s">
        <v>297</v>
      </c>
    </row>
    <row r="19" spans="1:5" ht="12.75">
      <c r="A19" s="40" t="s">
        <v>294</v>
      </c>
      <c r="B19" s="41"/>
      <c r="C19" s="41"/>
      <c r="D19" s="42"/>
      <c r="E19" s="23">
        <f>E21+E22+E23+E24</f>
        <v>69849.83519999999</v>
      </c>
    </row>
    <row r="20" spans="1:5" ht="12.75">
      <c r="A20" s="126" t="s">
        <v>305</v>
      </c>
      <c r="B20" s="120"/>
      <c r="C20" s="120"/>
      <c r="D20" s="45"/>
      <c r="E20" s="20"/>
    </row>
    <row r="21" spans="1:5" ht="12.75">
      <c r="A21" s="121" t="s">
        <v>72</v>
      </c>
      <c r="B21" s="122"/>
      <c r="C21" s="122"/>
      <c r="D21" s="43"/>
      <c r="E21" s="44">
        <f>0.438*5800*1.75*1.203*12</f>
        <v>64178.125199999995</v>
      </c>
    </row>
    <row r="22" spans="1:5" ht="12.75">
      <c r="A22" s="135" t="s">
        <v>73</v>
      </c>
      <c r="B22" s="136"/>
      <c r="C22" s="136"/>
      <c r="D22" s="20"/>
      <c r="E22" s="25">
        <f>0.025*A13*12</f>
        <v>859.3499999999999</v>
      </c>
    </row>
    <row r="23" spans="1:5" ht="12.75">
      <c r="A23" s="135" t="s">
        <v>74</v>
      </c>
      <c r="B23" s="136"/>
      <c r="C23" s="136"/>
      <c r="D23" s="20"/>
      <c r="E23" s="25">
        <f>0.01*A13*12</f>
        <v>343.74</v>
      </c>
    </row>
    <row r="24" spans="1:5" ht="12.75">
      <c r="A24" s="135" t="s">
        <v>75</v>
      </c>
      <c r="B24" s="136"/>
      <c r="C24" s="136"/>
      <c r="D24" s="137"/>
      <c r="E24" s="26">
        <f>0.13*A13*12</f>
        <v>4468.62</v>
      </c>
    </row>
    <row r="25" spans="1:5" ht="12.75">
      <c r="A25" s="138" t="s">
        <v>295</v>
      </c>
      <c r="B25" s="139"/>
      <c r="C25" s="139"/>
      <c r="D25" s="20"/>
      <c r="E25" s="18">
        <f>E26+E27+E28+E29+E31+E32</f>
        <v>99848.61300000001</v>
      </c>
    </row>
    <row r="26" spans="1:5" ht="12.75">
      <c r="A26" s="135" t="s">
        <v>76</v>
      </c>
      <c r="B26" s="136"/>
      <c r="C26" s="136"/>
      <c r="D26" s="20"/>
      <c r="E26" s="25">
        <f>197*1.5*101.01</f>
        <v>29848.455</v>
      </c>
    </row>
    <row r="27" spans="1:5" ht="12.75" customHeight="1">
      <c r="A27" s="135" t="s">
        <v>77</v>
      </c>
      <c r="B27" s="136"/>
      <c r="C27" s="136"/>
      <c r="D27" s="20"/>
      <c r="E27" s="25">
        <f>197*1.5*38.06</f>
        <v>11246.730000000001</v>
      </c>
    </row>
    <row r="28" spans="1:5" ht="12.75">
      <c r="A28" s="135" t="s">
        <v>78</v>
      </c>
      <c r="B28" s="136"/>
      <c r="C28" s="136"/>
      <c r="D28" s="20"/>
      <c r="E28" s="26">
        <f>16500*2.89</f>
        <v>47685</v>
      </c>
    </row>
    <row r="29" spans="1:5" ht="12.75">
      <c r="A29" s="135" t="s">
        <v>373</v>
      </c>
      <c r="B29" s="136"/>
      <c r="C29" s="136"/>
      <c r="D29" s="20"/>
      <c r="E29" s="25">
        <f>0.002*A13*12</f>
        <v>68.748</v>
      </c>
    </row>
    <row r="30" spans="1:5" ht="12.75">
      <c r="A30" s="135" t="s">
        <v>79</v>
      </c>
      <c r="B30" s="136"/>
      <c r="C30" s="136"/>
      <c r="D30" s="20"/>
      <c r="E30" s="25">
        <f>1.61*489.4</f>
        <v>787.934</v>
      </c>
    </row>
    <row r="31" spans="1:5" ht="12.75">
      <c r="A31" s="135" t="s">
        <v>80</v>
      </c>
      <c r="B31" s="136"/>
      <c r="C31" s="136"/>
      <c r="D31" s="20"/>
      <c r="E31" s="25">
        <f>0.32*A13*12</f>
        <v>10999.68</v>
      </c>
    </row>
    <row r="32" spans="1:5" ht="12.75">
      <c r="A32" s="27" t="s">
        <v>308</v>
      </c>
      <c r="B32" s="28"/>
      <c r="C32" s="28"/>
      <c r="D32" s="20"/>
      <c r="E32" s="5"/>
    </row>
    <row r="33" spans="1:5" ht="12.75">
      <c r="A33" s="140" t="s">
        <v>311</v>
      </c>
      <c r="B33" s="141"/>
      <c r="C33" s="141"/>
      <c r="D33" s="29"/>
      <c r="E33" s="8">
        <v>95081</v>
      </c>
    </row>
    <row r="34" spans="1:5" ht="12.75">
      <c r="A34" s="52" t="s">
        <v>324</v>
      </c>
      <c r="B34" s="53"/>
      <c r="C34" s="53" t="s">
        <v>81</v>
      </c>
      <c r="D34" s="29"/>
      <c r="E34" s="18">
        <f>0.78*A13*12</f>
        <v>26811.72</v>
      </c>
    </row>
    <row r="35" spans="1:5" ht="12.75">
      <c r="A35" s="142" t="s">
        <v>82</v>
      </c>
      <c r="B35" s="143"/>
      <c r="C35" s="143"/>
      <c r="D35" s="29"/>
      <c r="E35" s="18">
        <f>2.04*A13*12</f>
        <v>70122.95999999999</v>
      </c>
    </row>
    <row r="36" spans="1:5" ht="12.75">
      <c r="A36" s="35" t="s">
        <v>284</v>
      </c>
      <c r="B36" s="36"/>
      <c r="C36" s="36" t="s">
        <v>374</v>
      </c>
      <c r="D36" s="37"/>
      <c r="E36" s="8">
        <f>0.003*A13*12</f>
        <v>103.12200000000001</v>
      </c>
    </row>
    <row r="37" spans="1:5" ht="12.75">
      <c r="A37" s="144" t="s">
        <v>367</v>
      </c>
      <c r="B37" s="145"/>
      <c r="C37" s="145"/>
      <c r="D37" s="29"/>
      <c r="E37" s="8">
        <f>E36+E35+E34+E33+E25+E19</f>
        <v>361817.2502</v>
      </c>
    </row>
    <row r="38" spans="1:5" ht="12.75" customHeight="1">
      <c r="A38" s="146" t="s">
        <v>398</v>
      </c>
      <c r="B38" s="147"/>
      <c r="C38" s="147"/>
      <c r="D38" s="29"/>
      <c r="E38" s="19">
        <f>E37*0.06</f>
        <v>21709.035012</v>
      </c>
    </row>
    <row r="39" spans="1:5" ht="12.75" customHeight="1">
      <c r="A39" s="177" t="s">
        <v>83</v>
      </c>
      <c r="B39" s="178"/>
      <c r="C39" s="117"/>
      <c r="D39" s="29"/>
      <c r="E39" s="19">
        <f>A13*11.27*12*0.01</f>
        <v>3873.9498</v>
      </c>
    </row>
    <row r="40" spans="1:5" ht="12.75">
      <c r="A40" s="144" t="s">
        <v>316</v>
      </c>
      <c r="B40" s="145"/>
      <c r="C40" s="145"/>
      <c r="D40" s="29"/>
      <c r="E40" s="8">
        <f>SUM(E37:E39)</f>
        <v>387400.235012</v>
      </c>
    </row>
    <row r="41" spans="1:5" ht="12.75">
      <c r="A41" s="7" t="s">
        <v>307</v>
      </c>
      <c r="B41" s="38"/>
      <c r="C41" s="39"/>
      <c r="D41" s="8" t="s">
        <v>296</v>
      </c>
      <c r="E41" s="103">
        <f>E40/A13/12</f>
        <v>11.270152877523712</v>
      </c>
    </row>
    <row r="42" spans="1:5" ht="12.75">
      <c r="A42" s="10"/>
      <c r="B42" s="11"/>
      <c r="C42" s="12"/>
      <c r="D42" s="12"/>
      <c r="E42" s="1"/>
    </row>
    <row r="45" spans="1:3" ht="12.75">
      <c r="A45" s="61" t="s">
        <v>344</v>
      </c>
      <c r="B45" s="14"/>
      <c r="C45" s="15"/>
    </row>
    <row r="46" spans="1:3" ht="12.75">
      <c r="A46" s="16" t="s">
        <v>343</v>
      </c>
      <c r="B46" s="14"/>
      <c r="C46" s="15"/>
    </row>
  </sheetData>
  <mergeCells count="23">
    <mergeCell ref="A23:C23"/>
    <mergeCell ref="A18:C18"/>
    <mergeCell ref="A20:C20"/>
    <mergeCell ref="A21:C21"/>
    <mergeCell ref="A22:C22"/>
    <mergeCell ref="A6:E6"/>
    <mergeCell ref="A11:E11"/>
    <mergeCell ref="A15:A16"/>
    <mergeCell ref="C15:C16"/>
    <mergeCell ref="A40:C40"/>
    <mergeCell ref="A27:C27"/>
    <mergeCell ref="A28:C28"/>
    <mergeCell ref="A29:C29"/>
    <mergeCell ref="A31:C31"/>
    <mergeCell ref="A30:C30"/>
    <mergeCell ref="A33:C33"/>
    <mergeCell ref="A39:B39"/>
    <mergeCell ref="A35:C35"/>
    <mergeCell ref="A37:C37"/>
    <mergeCell ref="A38:C38"/>
    <mergeCell ref="A24:D24"/>
    <mergeCell ref="A25:C25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C3" sqref="C3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419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3376.6</v>
      </c>
      <c r="B13" s="48">
        <v>271</v>
      </c>
      <c r="C13" s="48">
        <v>923</v>
      </c>
      <c r="D13" s="48"/>
      <c r="E13" s="6">
        <v>2545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420</v>
      </c>
      <c r="C15" s="134" t="s">
        <v>421</v>
      </c>
      <c r="D15" s="21"/>
      <c r="E15" s="1"/>
    </row>
    <row r="16" spans="1:5" ht="12.75">
      <c r="A16" s="172"/>
      <c r="B16" s="49" t="s">
        <v>422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63097.94700000001</v>
      </c>
    </row>
    <row r="21" spans="1:5" ht="12.75">
      <c r="A21" s="126" t="s">
        <v>305</v>
      </c>
      <c r="B21" s="120"/>
      <c r="C21" s="120"/>
      <c r="D21" s="45"/>
      <c r="E21" s="20"/>
    </row>
    <row r="22" spans="1:5" ht="12.75">
      <c r="A22" s="121" t="s">
        <v>84</v>
      </c>
      <c r="B22" s="122"/>
      <c r="C22" s="122"/>
      <c r="D22" s="43"/>
      <c r="E22" s="44">
        <f>0.385*5800*1.75*1.203*12</f>
        <v>56412.279</v>
      </c>
    </row>
    <row r="23" spans="1:5" ht="12.75">
      <c r="A23" s="135" t="s">
        <v>85</v>
      </c>
      <c r="B23" s="136"/>
      <c r="C23" s="136"/>
      <c r="D23" s="20"/>
      <c r="E23" s="25">
        <f>0.025*A13*12</f>
        <v>1012.98</v>
      </c>
    </row>
    <row r="24" spans="1:5" ht="12.75">
      <c r="A24" s="135" t="s">
        <v>86</v>
      </c>
      <c r="B24" s="136"/>
      <c r="C24" s="136"/>
      <c r="D24" s="20"/>
      <c r="E24" s="25">
        <f>0.01*A13*12</f>
        <v>405.192</v>
      </c>
    </row>
    <row r="25" spans="1:5" ht="12.75">
      <c r="A25" s="135" t="s">
        <v>87</v>
      </c>
      <c r="B25" s="136"/>
      <c r="C25" s="136"/>
      <c r="D25" s="137"/>
      <c r="E25" s="26">
        <f>0.13*A13*12</f>
        <v>5267.496</v>
      </c>
    </row>
    <row r="26" spans="1:5" ht="12.75">
      <c r="A26" s="138" t="s">
        <v>295</v>
      </c>
      <c r="B26" s="139"/>
      <c r="C26" s="139"/>
      <c r="D26" s="20"/>
      <c r="E26" s="18">
        <f>E27+E28+E29+E30+E31+E33+E32</f>
        <v>73644.43239999999</v>
      </c>
    </row>
    <row r="27" spans="1:5" ht="12.75">
      <c r="A27" s="135" t="s">
        <v>88</v>
      </c>
      <c r="B27" s="136"/>
      <c r="C27" s="136"/>
      <c r="D27" s="20"/>
      <c r="E27" s="25">
        <f>170*1.5*101.01</f>
        <v>25757.550000000003</v>
      </c>
    </row>
    <row r="28" spans="1:5" ht="12.75">
      <c r="A28" s="135" t="s">
        <v>89</v>
      </c>
      <c r="B28" s="136"/>
      <c r="C28" s="136"/>
      <c r="D28" s="20"/>
      <c r="E28" s="25">
        <f>1.5*170*38.06</f>
        <v>9705.300000000001</v>
      </c>
    </row>
    <row r="29" spans="1:5" ht="12.75">
      <c r="A29" s="135" t="s">
        <v>90</v>
      </c>
      <c r="B29" s="136"/>
      <c r="C29" s="136"/>
      <c r="D29" s="20"/>
      <c r="E29" s="26">
        <f>6800*2.89</f>
        <v>19652</v>
      </c>
    </row>
    <row r="30" spans="1:5" ht="12.75">
      <c r="A30" s="135" t="s">
        <v>423</v>
      </c>
      <c r="B30" s="136"/>
      <c r="C30" s="136"/>
      <c r="D30" s="20"/>
      <c r="E30" s="25">
        <f>0.002*A13*12</f>
        <v>81.0384</v>
      </c>
    </row>
    <row r="31" spans="1:5" ht="12.75">
      <c r="A31" s="135" t="s">
        <v>91</v>
      </c>
      <c r="B31" s="136"/>
      <c r="C31" s="136"/>
      <c r="D31" s="20"/>
      <c r="E31" s="25">
        <f>0.32*A13*12</f>
        <v>12966.144</v>
      </c>
    </row>
    <row r="32" spans="1:5" ht="12.75" customHeight="1">
      <c r="A32" s="135" t="s">
        <v>104</v>
      </c>
      <c r="B32" s="136"/>
      <c r="C32" s="136"/>
      <c r="D32" s="20"/>
      <c r="E32" s="25">
        <f>70*6.08+70*18.06*4</f>
        <v>5482.4</v>
      </c>
    </row>
    <row r="33" spans="1:5" ht="12.75">
      <c r="A33" s="27" t="s">
        <v>308</v>
      </c>
      <c r="B33" s="28"/>
      <c r="C33" s="28"/>
      <c r="D33" s="20"/>
      <c r="E33" s="5"/>
    </row>
    <row r="34" spans="1:5" ht="12.75">
      <c r="A34" s="140" t="s">
        <v>311</v>
      </c>
      <c r="B34" s="141"/>
      <c r="C34" s="141"/>
      <c r="D34" s="29"/>
      <c r="E34" s="8">
        <v>175360</v>
      </c>
    </row>
    <row r="35" spans="1:5" ht="12.75">
      <c r="A35" s="52" t="s">
        <v>324</v>
      </c>
      <c r="B35" s="53"/>
      <c r="C35" s="53" t="s">
        <v>105</v>
      </c>
      <c r="D35" s="29"/>
      <c r="E35" s="18">
        <f>0.78*A13*12</f>
        <v>31604.976000000002</v>
      </c>
    </row>
    <row r="36" spans="1:5" ht="12.75">
      <c r="A36" s="142" t="s">
        <v>106</v>
      </c>
      <c r="B36" s="143"/>
      <c r="C36" s="143"/>
      <c r="D36" s="29"/>
      <c r="E36" s="18">
        <f>2.04*A13*12</f>
        <v>82659.168</v>
      </c>
    </row>
    <row r="37" spans="1:5" ht="12.75">
      <c r="A37" s="35" t="s">
        <v>284</v>
      </c>
      <c r="B37" s="36"/>
      <c r="C37" s="36" t="s">
        <v>424</v>
      </c>
      <c r="D37" s="37"/>
      <c r="E37" s="8">
        <f>0.003*A13*12</f>
        <v>121.5576</v>
      </c>
    </row>
    <row r="38" spans="1:5" ht="12.75">
      <c r="A38" s="144" t="s">
        <v>367</v>
      </c>
      <c r="B38" s="145"/>
      <c r="C38" s="145"/>
      <c r="D38" s="29"/>
      <c r="E38" s="8">
        <f>E37+E36+E35+E34+E26+E20</f>
        <v>426488.081</v>
      </c>
    </row>
    <row r="39" spans="1:5" ht="12.75" customHeight="1">
      <c r="A39" s="146" t="s">
        <v>398</v>
      </c>
      <c r="B39" s="147"/>
      <c r="C39" s="147"/>
      <c r="D39" s="29"/>
      <c r="E39" s="19">
        <f>E38*0.06</f>
        <v>25589.28486</v>
      </c>
    </row>
    <row r="40" spans="1:5" ht="12.75" customHeight="1">
      <c r="A40" s="177" t="s">
        <v>83</v>
      </c>
      <c r="B40" s="178"/>
      <c r="C40" s="117"/>
      <c r="D40" s="29"/>
      <c r="E40" s="19">
        <f>A13*11.27*12*0.01</f>
        <v>4566.51384</v>
      </c>
    </row>
    <row r="41" spans="1:5" ht="12.75">
      <c r="A41" s="144" t="s">
        <v>316</v>
      </c>
      <c r="B41" s="145"/>
      <c r="C41" s="145"/>
      <c r="D41" s="29"/>
      <c r="E41" s="8">
        <f>SUM(E38:E40)</f>
        <v>456643.87970000005</v>
      </c>
    </row>
    <row r="42" spans="1:5" ht="12.75">
      <c r="A42" s="7" t="s">
        <v>307</v>
      </c>
      <c r="B42" s="38"/>
      <c r="C42" s="39"/>
      <c r="D42" s="8" t="s">
        <v>296</v>
      </c>
      <c r="E42" s="103">
        <f>E41/A13/12</f>
        <v>11.269814796442182</v>
      </c>
    </row>
    <row r="43" spans="1:5" ht="12.75">
      <c r="A43" s="10"/>
      <c r="B43" s="11"/>
      <c r="C43" s="12"/>
      <c r="D43" s="12"/>
      <c r="E43" s="1"/>
    </row>
    <row r="46" spans="1:3" ht="12.75">
      <c r="A46" s="61" t="s">
        <v>344</v>
      </c>
      <c r="B46" s="14"/>
      <c r="C46" s="15"/>
    </row>
    <row r="47" spans="1:3" ht="12.75">
      <c r="A47" s="16" t="s">
        <v>343</v>
      </c>
      <c r="B47" s="14"/>
      <c r="C47" s="15"/>
    </row>
  </sheetData>
  <mergeCells count="23">
    <mergeCell ref="A41:C41"/>
    <mergeCell ref="A34:C34"/>
    <mergeCell ref="A36:C36"/>
    <mergeCell ref="A38:C38"/>
    <mergeCell ref="A39:C39"/>
    <mergeCell ref="A40:B40"/>
    <mergeCell ref="A31:C31"/>
    <mergeCell ref="A32:C32"/>
    <mergeCell ref="A27:C27"/>
    <mergeCell ref="A28:C28"/>
    <mergeCell ref="A29:C29"/>
    <mergeCell ref="A30:C30"/>
    <mergeCell ref="A23:C23"/>
    <mergeCell ref="A24:C24"/>
    <mergeCell ref="A25:D25"/>
    <mergeCell ref="A26:C26"/>
    <mergeCell ref="A19:C19"/>
    <mergeCell ref="A21:C21"/>
    <mergeCell ref="A22:C22"/>
    <mergeCell ref="A6:E6"/>
    <mergeCell ref="A11:E11"/>
    <mergeCell ref="A15:A16"/>
    <mergeCell ref="C15:C16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3" sqref="C3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377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4.25">
      <c r="A10" s="3"/>
      <c r="B10" s="1"/>
      <c r="C10" s="1"/>
      <c r="D10" s="51" t="s">
        <v>382</v>
      </c>
      <c r="E10" s="1"/>
    </row>
    <row r="11" spans="1:5" ht="14.25">
      <c r="A11" s="3"/>
      <c r="B11" s="1"/>
      <c r="C11" s="1"/>
      <c r="D11" s="1"/>
      <c r="E11" s="1"/>
    </row>
    <row r="12" spans="1:5" ht="12.75">
      <c r="A12" s="129" t="s">
        <v>299</v>
      </c>
      <c r="B12" s="130"/>
      <c r="C12" s="130"/>
      <c r="D12" s="130"/>
      <c r="E12" s="131"/>
    </row>
    <row r="13" spans="1:5" ht="12.75">
      <c r="A13" s="17" t="s">
        <v>300</v>
      </c>
      <c r="B13" s="17" t="s">
        <v>301</v>
      </c>
      <c r="C13" s="17" t="s">
        <v>302</v>
      </c>
      <c r="D13" s="17" t="s">
        <v>303</v>
      </c>
      <c r="E13" s="17" t="s">
        <v>298</v>
      </c>
    </row>
    <row r="14" spans="1:5" ht="14.25">
      <c r="A14" s="50">
        <v>4551.9</v>
      </c>
      <c r="B14" s="48">
        <v>397</v>
      </c>
      <c r="C14" s="48">
        <v>1131</v>
      </c>
      <c r="D14" s="48"/>
      <c r="E14" s="6">
        <v>2840</v>
      </c>
    </row>
    <row r="15" spans="1:5" ht="14.25">
      <c r="A15" s="3"/>
      <c r="B15" s="1"/>
      <c r="C15" s="1"/>
      <c r="D15" s="1"/>
      <c r="E15" s="1"/>
    </row>
    <row r="16" spans="1:5" ht="12.75">
      <c r="A16" s="132" t="s">
        <v>304</v>
      </c>
      <c r="B16" s="49" t="s">
        <v>378</v>
      </c>
      <c r="C16" s="134" t="s">
        <v>380</v>
      </c>
      <c r="D16" s="21"/>
      <c r="E16" s="1"/>
    </row>
    <row r="17" spans="1:5" ht="12.75">
      <c r="A17" s="172"/>
      <c r="B17" s="49" t="s">
        <v>379</v>
      </c>
      <c r="C17" s="172"/>
      <c r="D17" s="1"/>
      <c r="E17" s="1"/>
    </row>
    <row r="18" spans="1:5" ht="12.75">
      <c r="A18" s="68"/>
      <c r="B18" s="65"/>
      <c r="C18" s="68"/>
      <c r="D18" s="1"/>
      <c r="E18" s="1"/>
    </row>
    <row r="19" spans="1:5" ht="12.75">
      <c r="A19" s="4"/>
      <c r="B19" s="1"/>
      <c r="C19" s="1"/>
      <c r="D19" s="1"/>
      <c r="E19" s="1"/>
    </row>
    <row r="20" spans="1:5" ht="12.75">
      <c r="A20" s="124" t="s">
        <v>293</v>
      </c>
      <c r="B20" s="125"/>
      <c r="C20" s="125"/>
      <c r="D20" s="46"/>
      <c r="E20" s="47" t="s">
        <v>297</v>
      </c>
    </row>
    <row r="21" spans="1:5" ht="12.75">
      <c r="A21" s="40" t="s">
        <v>294</v>
      </c>
      <c r="B21" s="41"/>
      <c r="C21" s="41"/>
      <c r="D21" s="42"/>
      <c r="E21" s="23">
        <f>E23+E24+E25+E26</f>
        <v>76707.49680000002</v>
      </c>
    </row>
    <row r="22" spans="1:5" ht="12.75">
      <c r="A22" s="126" t="s">
        <v>305</v>
      </c>
      <c r="B22" s="120"/>
      <c r="C22" s="120"/>
      <c r="D22" s="45"/>
      <c r="E22" s="20"/>
    </row>
    <row r="23" spans="1:5" ht="12.75">
      <c r="A23" s="121" t="s">
        <v>92</v>
      </c>
      <c r="B23" s="122"/>
      <c r="C23" s="122"/>
      <c r="D23" s="43"/>
      <c r="E23" s="44">
        <f>0.462*5800*1.75*1.203*12</f>
        <v>67694.7348</v>
      </c>
    </row>
    <row r="24" spans="1:5" ht="12.75">
      <c r="A24" s="135" t="s">
        <v>93</v>
      </c>
      <c r="B24" s="136"/>
      <c r="C24" s="136"/>
      <c r="D24" s="20"/>
      <c r="E24" s="25">
        <f>0.025*A14*12</f>
        <v>1365.57</v>
      </c>
    </row>
    <row r="25" spans="1:5" ht="12.75">
      <c r="A25" s="135" t="s">
        <v>94</v>
      </c>
      <c r="B25" s="136"/>
      <c r="C25" s="136"/>
      <c r="D25" s="20"/>
      <c r="E25" s="25">
        <f>0.01*A14*12</f>
        <v>546.228</v>
      </c>
    </row>
    <row r="26" spans="1:5" ht="12.75">
      <c r="A26" s="135" t="s">
        <v>95</v>
      </c>
      <c r="B26" s="136"/>
      <c r="C26" s="136"/>
      <c r="D26" s="137"/>
      <c r="E26" s="26">
        <f>0.13*A14*12</f>
        <v>7100.964</v>
      </c>
    </row>
    <row r="27" spans="1:5" ht="12.75">
      <c r="A27" s="138" t="s">
        <v>295</v>
      </c>
      <c r="B27" s="139"/>
      <c r="C27" s="139"/>
      <c r="D27" s="20"/>
      <c r="E27" s="18">
        <f>E28+E29+E30+E31+E33+E35+E32+E34</f>
        <v>96373.2716</v>
      </c>
    </row>
    <row r="28" spans="1:5" ht="12.75">
      <c r="A28" s="135" t="s">
        <v>97</v>
      </c>
      <c r="B28" s="136"/>
      <c r="C28" s="136"/>
      <c r="D28" s="20"/>
      <c r="E28" s="25">
        <f>226*1.5*101.01</f>
        <v>34242.39</v>
      </c>
    </row>
    <row r="29" spans="1:5" ht="12.75">
      <c r="A29" s="135" t="s">
        <v>96</v>
      </c>
      <c r="B29" s="136"/>
      <c r="C29" s="136"/>
      <c r="D29" s="20"/>
      <c r="E29" s="25">
        <f>226*1.5*38.06</f>
        <v>12902.34</v>
      </c>
    </row>
    <row r="30" spans="1:5" ht="12.75">
      <c r="A30" s="135" t="s">
        <v>98</v>
      </c>
      <c r="B30" s="136"/>
      <c r="C30" s="136"/>
      <c r="D30" s="20"/>
      <c r="E30" s="26">
        <f>9500*2.89</f>
        <v>27455</v>
      </c>
    </row>
    <row r="31" spans="1:5" ht="12.75">
      <c r="A31" s="135" t="s">
        <v>383</v>
      </c>
      <c r="B31" s="136"/>
      <c r="C31" s="136"/>
      <c r="D31" s="20"/>
      <c r="E31" s="25">
        <f>0.002*A14*12</f>
        <v>109.2456</v>
      </c>
    </row>
    <row r="32" spans="1:5" ht="12.75">
      <c r="A32" s="135" t="s">
        <v>99</v>
      </c>
      <c r="B32" s="136"/>
      <c r="C32" s="136"/>
      <c r="D32" s="20"/>
      <c r="E32" s="25">
        <f>1.61*1100</f>
        <v>1771</v>
      </c>
    </row>
    <row r="33" spans="1:5" ht="12.75">
      <c r="A33" s="135" t="s">
        <v>100</v>
      </c>
      <c r="B33" s="136"/>
      <c r="C33" s="136"/>
      <c r="D33" s="20"/>
      <c r="E33" s="25">
        <f>0.32*A14*12</f>
        <v>17479.296</v>
      </c>
    </row>
    <row r="34" spans="1:5" ht="12.75">
      <c r="A34" s="135" t="s">
        <v>101</v>
      </c>
      <c r="B34" s="136"/>
      <c r="C34" s="136"/>
      <c r="D34" s="20"/>
      <c r="E34" s="25">
        <f>100*6.08+100*18.06</f>
        <v>2414</v>
      </c>
    </row>
    <row r="35" spans="1:5" ht="12.75">
      <c r="A35" s="27" t="s">
        <v>328</v>
      </c>
      <c r="B35" s="28"/>
      <c r="C35" s="28"/>
      <c r="D35" s="20"/>
      <c r="E35" s="5"/>
    </row>
    <row r="36" spans="1:5" ht="12.75">
      <c r="A36" s="140" t="s">
        <v>311</v>
      </c>
      <c r="B36" s="141"/>
      <c r="C36" s="141"/>
      <c r="D36" s="29"/>
      <c r="E36" s="8">
        <v>247651</v>
      </c>
    </row>
    <row r="37" spans="1:5" ht="12.75">
      <c r="A37" s="52" t="s">
        <v>324</v>
      </c>
      <c r="B37" s="53"/>
      <c r="C37" s="53" t="s">
        <v>102</v>
      </c>
      <c r="D37" s="29"/>
      <c r="E37" s="18">
        <f>0.78*A14*12</f>
        <v>42605.784</v>
      </c>
    </row>
    <row r="38" spans="1:5" ht="12.75">
      <c r="A38" s="142" t="s">
        <v>103</v>
      </c>
      <c r="B38" s="143"/>
      <c r="C38" s="143"/>
      <c r="D38" s="29"/>
      <c r="E38" s="18">
        <f>2.04*A14*12</f>
        <v>111430.512</v>
      </c>
    </row>
    <row r="39" spans="1:5" ht="12.75">
      <c r="A39" s="35" t="s">
        <v>284</v>
      </c>
      <c r="B39" s="36"/>
      <c r="C39" s="36" t="s">
        <v>384</v>
      </c>
      <c r="D39" s="37"/>
      <c r="E39" s="8">
        <f>0.003*A14*12</f>
        <v>163.8684</v>
      </c>
    </row>
    <row r="40" spans="1:5" ht="12.75">
      <c r="A40" s="144" t="s">
        <v>367</v>
      </c>
      <c r="B40" s="145"/>
      <c r="C40" s="145"/>
      <c r="D40" s="29"/>
      <c r="E40" s="8">
        <f>E39+E38+E37+E36+E27+E21</f>
        <v>574931.9328000001</v>
      </c>
    </row>
    <row r="41" spans="1:5" ht="12.75" customHeight="1">
      <c r="A41" s="146" t="s">
        <v>398</v>
      </c>
      <c r="B41" s="147"/>
      <c r="C41" s="147"/>
      <c r="D41" s="29"/>
      <c r="E41" s="19">
        <f>E40*0.06</f>
        <v>34495.915968</v>
      </c>
    </row>
    <row r="42" spans="1:5" ht="12.75" customHeight="1">
      <c r="A42" s="177" t="s">
        <v>83</v>
      </c>
      <c r="B42" s="178"/>
      <c r="C42" s="117"/>
      <c r="D42" s="29"/>
      <c r="E42" s="19">
        <f>A14*11.27*12*0.01</f>
        <v>6155.989559999999</v>
      </c>
    </row>
    <row r="43" spans="1:5" ht="12.75">
      <c r="A43" s="144" t="s">
        <v>316</v>
      </c>
      <c r="B43" s="145"/>
      <c r="C43" s="145"/>
      <c r="D43" s="29"/>
      <c r="E43" s="8">
        <f>SUM(E40:E42)</f>
        <v>615583.838328</v>
      </c>
    </row>
    <row r="44" spans="1:5" ht="12.75">
      <c r="A44" s="7" t="s">
        <v>307</v>
      </c>
      <c r="B44" s="38"/>
      <c r="C44" s="39"/>
      <c r="D44" s="8" t="s">
        <v>296</v>
      </c>
      <c r="E44" s="103">
        <f>E43/A14/12</f>
        <v>11.269723235132583</v>
      </c>
    </row>
    <row r="45" spans="1:5" ht="12.75">
      <c r="A45" s="10"/>
      <c r="B45" s="11"/>
      <c r="C45" s="12"/>
      <c r="D45" s="12"/>
      <c r="E45" s="1"/>
    </row>
    <row r="48" spans="1:3" ht="12.75" hidden="1">
      <c r="A48" s="61" t="s">
        <v>344</v>
      </c>
      <c r="B48" s="14"/>
      <c r="C48" s="15"/>
    </row>
    <row r="49" spans="1:3" ht="12.75" hidden="1">
      <c r="A49" s="16" t="s">
        <v>343</v>
      </c>
      <c r="B49" s="14"/>
      <c r="C49" s="15"/>
    </row>
  </sheetData>
  <mergeCells count="24">
    <mergeCell ref="A40:C40"/>
    <mergeCell ref="A41:C41"/>
    <mergeCell ref="A43:C43"/>
    <mergeCell ref="A33:C33"/>
    <mergeCell ref="A36:C36"/>
    <mergeCell ref="A38:C38"/>
    <mergeCell ref="A34:C34"/>
    <mergeCell ref="A42:B42"/>
    <mergeCell ref="A29:C29"/>
    <mergeCell ref="A30:C30"/>
    <mergeCell ref="A31:C31"/>
    <mergeCell ref="A32:C32"/>
    <mergeCell ref="A25:C25"/>
    <mergeCell ref="A26:D26"/>
    <mergeCell ref="A27:C27"/>
    <mergeCell ref="A28:C28"/>
    <mergeCell ref="A20:C20"/>
    <mergeCell ref="A22:C22"/>
    <mergeCell ref="A23:C23"/>
    <mergeCell ref="A24:C24"/>
    <mergeCell ref="A6:E6"/>
    <mergeCell ref="A12:E12"/>
    <mergeCell ref="A16:A17"/>
    <mergeCell ref="C16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0" sqref="A40:E40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0"/>
      <c r="C6" s="170"/>
      <c r="D6" s="170"/>
      <c r="E6" s="170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381</v>
      </c>
      <c r="B8" s="1"/>
      <c r="C8" s="1"/>
      <c r="D8" s="1"/>
      <c r="E8" s="1"/>
    </row>
    <row r="9" spans="1:5" ht="14.25">
      <c r="A9" s="3"/>
      <c r="B9" s="1"/>
      <c r="C9" s="1"/>
      <c r="D9" s="51" t="s">
        <v>382</v>
      </c>
      <c r="E9" s="1"/>
    </row>
    <row r="10" spans="1:5" ht="14.25">
      <c r="A10" s="3"/>
      <c r="B10" s="1"/>
      <c r="C10" s="1"/>
      <c r="D10" s="1"/>
      <c r="E10" s="1"/>
    </row>
    <row r="11" spans="1:5" ht="12.75" customHeight="1">
      <c r="A11" s="129" t="s">
        <v>299</v>
      </c>
      <c r="B11" s="189"/>
      <c r="C11" s="189"/>
      <c r="D11" s="189"/>
      <c r="E11" s="190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4602.2</v>
      </c>
      <c r="B13" s="48">
        <v>397</v>
      </c>
      <c r="C13" s="48">
        <v>1131</v>
      </c>
      <c r="D13" s="48"/>
      <c r="E13" s="6">
        <v>2840</v>
      </c>
    </row>
    <row r="14" spans="1:5" ht="14.25">
      <c r="A14" s="3"/>
      <c r="B14" s="1"/>
      <c r="C14" s="1"/>
      <c r="D14" s="1"/>
      <c r="E14" s="1"/>
    </row>
    <row r="15" spans="1:5" ht="12.75" customHeight="1">
      <c r="A15" s="132" t="s">
        <v>304</v>
      </c>
      <c r="B15" s="49" t="s">
        <v>378</v>
      </c>
      <c r="C15" s="134" t="s">
        <v>380</v>
      </c>
      <c r="D15" s="21"/>
      <c r="E15" s="1"/>
    </row>
    <row r="16" spans="1:5" ht="12.75">
      <c r="A16" s="133"/>
      <c r="B16" s="49" t="s">
        <v>379</v>
      </c>
      <c r="C16" s="123"/>
      <c r="D16" s="1"/>
      <c r="E16" s="1"/>
    </row>
    <row r="17" spans="1:5" ht="12.75">
      <c r="A17" s="4"/>
      <c r="B17" s="1"/>
      <c r="C17" s="1"/>
      <c r="D17" s="1"/>
      <c r="E17" s="1"/>
    </row>
    <row r="18" spans="1:5" ht="12.75" customHeight="1">
      <c r="A18" s="124" t="s">
        <v>293</v>
      </c>
      <c r="B18" s="125"/>
      <c r="C18" s="125"/>
      <c r="D18" s="46"/>
      <c r="E18" s="47" t="s">
        <v>297</v>
      </c>
    </row>
    <row r="19" spans="1:5" ht="12.75">
      <c r="A19" s="40" t="s">
        <v>294</v>
      </c>
      <c r="B19" s="41"/>
      <c r="C19" s="41"/>
      <c r="D19" s="42"/>
      <c r="E19" s="23">
        <f>E21+E22+E23+E24</f>
        <v>76807.0908</v>
      </c>
    </row>
    <row r="20" spans="1:5" ht="12.75" customHeight="1">
      <c r="A20" s="126" t="s">
        <v>305</v>
      </c>
      <c r="B20" s="120"/>
      <c r="C20" s="120"/>
      <c r="D20" s="45"/>
      <c r="E20" s="20"/>
    </row>
    <row r="21" spans="1:5" ht="12.75" customHeight="1">
      <c r="A21" s="135" t="s">
        <v>92</v>
      </c>
      <c r="B21" s="136"/>
      <c r="C21" s="136"/>
      <c r="D21" s="43"/>
      <c r="E21" s="44">
        <f>0.462*5800*1.75*1.203*12</f>
        <v>67694.7348</v>
      </c>
    </row>
    <row r="22" spans="1:5" ht="12.75" customHeight="1">
      <c r="A22" s="135" t="s">
        <v>93</v>
      </c>
      <c r="B22" s="136"/>
      <c r="C22" s="136"/>
      <c r="D22" s="20"/>
      <c r="E22" s="25">
        <f>0.025*A13*12</f>
        <v>1380.66</v>
      </c>
    </row>
    <row r="23" spans="1:5" ht="12.75" customHeight="1">
      <c r="A23" s="135" t="s">
        <v>94</v>
      </c>
      <c r="B23" s="136"/>
      <c r="C23" s="136"/>
      <c r="D23" s="20"/>
      <c r="E23" s="25">
        <f>0.01*A13*12</f>
        <v>552.264</v>
      </c>
    </row>
    <row r="24" spans="1:5" ht="12.75" customHeight="1">
      <c r="A24" s="135" t="s">
        <v>95</v>
      </c>
      <c r="B24" s="136"/>
      <c r="C24" s="136"/>
      <c r="D24" s="191"/>
      <c r="E24" s="26">
        <f>0.13*A13*12</f>
        <v>7179.431999999999</v>
      </c>
    </row>
    <row r="25" spans="1:5" ht="12.75" customHeight="1">
      <c r="A25" s="138" t="s">
        <v>295</v>
      </c>
      <c r="B25" s="139"/>
      <c r="C25" s="139"/>
      <c r="D25" s="20"/>
      <c r="E25" s="18">
        <f>E26+E27+E28+E29+E31+E33+E30+E32</f>
        <v>101189.5208</v>
      </c>
    </row>
    <row r="26" spans="1:5" ht="12.75" customHeight="1">
      <c r="A26" s="135" t="s">
        <v>107</v>
      </c>
      <c r="B26" s="136"/>
      <c r="C26" s="136"/>
      <c r="D26" s="20"/>
      <c r="E26" s="25">
        <f>244*1.5*101.01</f>
        <v>36969.66</v>
      </c>
    </row>
    <row r="27" spans="1:5" ht="12.75" customHeight="1">
      <c r="A27" s="135" t="s">
        <v>108</v>
      </c>
      <c r="B27" s="136"/>
      <c r="C27" s="136"/>
      <c r="D27" s="20"/>
      <c r="E27" s="25">
        <f>244*1.5*38.06</f>
        <v>13929.960000000001</v>
      </c>
    </row>
    <row r="28" spans="1:5" ht="12.75" customHeight="1">
      <c r="A28" s="135" t="s">
        <v>109</v>
      </c>
      <c r="B28" s="136"/>
      <c r="C28" s="136"/>
      <c r="D28" s="20"/>
      <c r="E28" s="26">
        <f>9800*2.89</f>
        <v>28322</v>
      </c>
    </row>
    <row r="29" spans="1:5" ht="12.75" customHeight="1">
      <c r="A29" s="135" t="s">
        <v>383</v>
      </c>
      <c r="B29" s="136"/>
      <c r="C29" s="136"/>
      <c r="D29" s="20"/>
      <c r="E29" s="25">
        <f>0.002*A13*12</f>
        <v>110.4528</v>
      </c>
    </row>
    <row r="30" spans="1:5" ht="12.75" customHeight="1">
      <c r="A30" s="135" t="s">
        <v>110</v>
      </c>
      <c r="B30" s="136"/>
      <c r="C30" s="136"/>
      <c r="D30" s="20"/>
      <c r="E30" s="25">
        <f>1.61*1100</f>
        <v>1771</v>
      </c>
    </row>
    <row r="31" spans="1:5" ht="12.75" customHeight="1">
      <c r="A31" s="135" t="s">
        <v>100</v>
      </c>
      <c r="B31" s="136"/>
      <c r="C31" s="136"/>
      <c r="D31" s="20"/>
      <c r="E31" s="25">
        <f>0.32*A13*12</f>
        <v>17672.448</v>
      </c>
    </row>
    <row r="32" spans="1:5" ht="12.75" customHeight="1">
      <c r="A32" s="135" t="s">
        <v>101</v>
      </c>
      <c r="B32" s="136"/>
      <c r="C32" s="136"/>
      <c r="D32" s="20"/>
      <c r="E32" s="25">
        <f>100*6.08+100*18.06</f>
        <v>2414</v>
      </c>
    </row>
    <row r="33" spans="1:5" ht="12.75" customHeight="1">
      <c r="A33" s="27" t="s">
        <v>328</v>
      </c>
      <c r="B33" s="28"/>
      <c r="C33" s="28"/>
      <c r="D33" s="20"/>
      <c r="E33" s="5"/>
    </row>
    <row r="34" spans="1:5" ht="12.75" customHeight="1">
      <c r="A34" s="192" t="s">
        <v>311</v>
      </c>
      <c r="B34" s="193"/>
      <c r="C34" s="193"/>
      <c r="D34" s="29"/>
      <c r="E34" s="8">
        <v>247401</v>
      </c>
    </row>
    <row r="35" spans="1:5" ht="12.75" customHeight="1">
      <c r="A35" s="52" t="s">
        <v>324</v>
      </c>
      <c r="B35" s="53"/>
      <c r="C35" s="53" t="s">
        <v>102</v>
      </c>
      <c r="D35" s="29"/>
      <c r="E35" s="18">
        <f>0.78*A13*12</f>
        <v>43076.592</v>
      </c>
    </row>
    <row r="36" spans="1:5" ht="12.75" customHeight="1">
      <c r="A36" s="168" t="s">
        <v>103</v>
      </c>
      <c r="B36" s="194"/>
      <c r="C36" s="194"/>
      <c r="D36" s="29"/>
      <c r="E36" s="18">
        <f>2.04*A13*12</f>
        <v>112661.856</v>
      </c>
    </row>
    <row r="37" spans="1:5" ht="12.75" customHeight="1">
      <c r="A37" s="35" t="s">
        <v>284</v>
      </c>
      <c r="B37" s="36"/>
      <c r="C37" s="36" t="s">
        <v>384</v>
      </c>
      <c r="D37" s="37"/>
      <c r="E37" s="8">
        <f>0.003*A13*12</f>
        <v>165.67919999999998</v>
      </c>
    </row>
    <row r="38" spans="1:5" ht="12.75" customHeight="1">
      <c r="A38" s="195" t="s">
        <v>367</v>
      </c>
      <c r="B38" s="196"/>
      <c r="C38" s="196"/>
      <c r="D38" s="29"/>
      <c r="E38" s="8">
        <f>E37+E36+E35+E34+E25+E19</f>
        <v>581301.7387999999</v>
      </c>
    </row>
    <row r="39" spans="1:5" ht="12.75" customHeight="1">
      <c r="A39" s="146" t="s">
        <v>398</v>
      </c>
      <c r="B39" s="147"/>
      <c r="C39" s="147"/>
      <c r="D39" s="29"/>
      <c r="E39" s="19">
        <f>E38*0.06</f>
        <v>34878.104327999994</v>
      </c>
    </row>
    <row r="40" spans="1:5" ht="12.75" customHeight="1">
      <c r="A40" s="177" t="s">
        <v>83</v>
      </c>
      <c r="B40" s="178"/>
      <c r="C40" s="117"/>
      <c r="D40" s="29"/>
      <c r="E40" s="19">
        <f>A13*11.27*12*0.01</f>
        <v>6224.01528</v>
      </c>
    </row>
    <row r="41" spans="1:5" ht="12.75" customHeight="1">
      <c r="A41" s="195" t="s">
        <v>316</v>
      </c>
      <c r="B41" s="196"/>
      <c r="C41" s="196"/>
      <c r="D41" s="29"/>
      <c r="E41" s="8">
        <f>SUM(E38:E40)</f>
        <v>622403.858408</v>
      </c>
    </row>
    <row r="42" spans="1:5" ht="12.75">
      <c r="A42" s="7" t="s">
        <v>307</v>
      </c>
      <c r="B42" s="38"/>
      <c r="C42" s="39"/>
      <c r="D42" s="8" t="s">
        <v>296</v>
      </c>
      <c r="E42" s="103">
        <f>E41/A13/12</f>
        <v>11.270042197354888</v>
      </c>
    </row>
    <row r="43" spans="1:5" ht="12.75" customHeight="1">
      <c r="A43" s="10"/>
      <c r="B43" s="11"/>
      <c r="C43" s="12"/>
      <c r="D43" s="12"/>
      <c r="E43" s="1"/>
    </row>
  </sheetData>
  <mergeCells count="24">
    <mergeCell ref="A36:C36"/>
    <mergeCell ref="A41:C41"/>
    <mergeCell ref="A38:C38"/>
    <mergeCell ref="A39:C39"/>
    <mergeCell ref="A40:B40"/>
    <mergeCell ref="A31:C31"/>
    <mergeCell ref="A32:C32"/>
    <mergeCell ref="A34:C34"/>
    <mergeCell ref="A27:C27"/>
    <mergeCell ref="A28:C28"/>
    <mergeCell ref="A29:C29"/>
    <mergeCell ref="A30:C30"/>
    <mergeCell ref="A23:C23"/>
    <mergeCell ref="A24:D24"/>
    <mergeCell ref="A25:C25"/>
    <mergeCell ref="A26:C26"/>
    <mergeCell ref="A18:C18"/>
    <mergeCell ref="A20:C20"/>
    <mergeCell ref="A21:C21"/>
    <mergeCell ref="A22:C22"/>
    <mergeCell ref="A6:E6"/>
    <mergeCell ref="A11:E11"/>
    <mergeCell ref="A15:A16"/>
    <mergeCell ref="C15:C16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3">
      <selection activeCell="A41" sqref="A41:E41"/>
    </sheetView>
  </sheetViews>
  <sheetFormatPr defaultColWidth="9.00390625" defaultRowHeight="12.75"/>
  <cols>
    <col min="1" max="1" width="15.0039062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0"/>
      <c r="C6" s="170"/>
      <c r="D6" s="170"/>
      <c r="E6" s="170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392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 customHeight="1">
      <c r="A11" s="129" t="s">
        <v>299</v>
      </c>
      <c r="B11" s="189"/>
      <c r="C11" s="189"/>
      <c r="D11" s="189"/>
      <c r="E11" s="190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4606.9</v>
      </c>
      <c r="B13" s="48">
        <v>398</v>
      </c>
      <c r="C13" s="48">
        <v>1660</v>
      </c>
      <c r="D13" s="48"/>
      <c r="E13" s="6">
        <v>1720</v>
      </c>
    </row>
    <row r="14" spans="1:5" ht="14.25">
      <c r="A14" s="3"/>
      <c r="B14" s="1"/>
      <c r="C14" s="1"/>
      <c r="D14" s="1"/>
      <c r="E14" s="1"/>
    </row>
    <row r="15" spans="1:5" ht="12.75" customHeight="1">
      <c r="A15" s="132" t="s">
        <v>304</v>
      </c>
      <c r="B15" s="49" t="s">
        <v>393</v>
      </c>
      <c r="C15" s="134" t="s">
        <v>394</v>
      </c>
      <c r="D15" s="21"/>
      <c r="E15" s="1"/>
    </row>
    <row r="16" spans="1:5" ht="12.75">
      <c r="A16" s="133"/>
      <c r="B16" s="49" t="s">
        <v>395</v>
      </c>
      <c r="C16" s="123"/>
      <c r="D16" s="1"/>
      <c r="E16" s="1"/>
    </row>
    <row r="17" spans="1:5" ht="14.25">
      <c r="A17" s="24"/>
      <c r="B17" s="65"/>
      <c r="C17" s="21"/>
      <c r="D17" s="1"/>
      <c r="E17" s="1"/>
    </row>
    <row r="18" spans="1:5" ht="12.75">
      <c r="A18" s="4"/>
      <c r="B18" s="1"/>
      <c r="C18" s="1"/>
      <c r="D18" s="1"/>
      <c r="E18" s="1"/>
    </row>
    <row r="19" spans="1:5" ht="12.75" customHeight="1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96450.8004</v>
      </c>
    </row>
    <row r="21" spans="1:5" ht="12.75" customHeight="1">
      <c r="A21" s="126" t="s">
        <v>305</v>
      </c>
      <c r="B21" s="120"/>
      <c r="C21" s="120"/>
      <c r="D21" s="45"/>
      <c r="E21" s="20"/>
    </row>
    <row r="22" spans="1:5" ht="12.75" customHeight="1">
      <c r="A22" s="135" t="s">
        <v>111</v>
      </c>
      <c r="B22" s="136"/>
      <c r="C22" s="136"/>
      <c r="D22" s="43"/>
      <c r="E22" s="44">
        <f>0.596*5800*1.75*1.203*12</f>
        <v>87329.1384</v>
      </c>
    </row>
    <row r="23" spans="1:5" ht="12.75" customHeight="1">
      <c r="A23" s="135" t="s">
        <v>112</v>
      </c>
      <c r="B23" s="136"/>
      <c r="C23" s="136"/>
      <c r="D23" s="20"/>
      <c r="E23" s="25">
        <f>0.025*A13*12</f>
        <v>1382.07</v>
      </c>
    </row>
    <row r="24" spans="1:5" ht="12.75" customHeight="1">
      <c r="A24" s="135" t="s">
        <v>113</v>
      </c>
      <c r="B24" s="136"/>
      <c r="C24" s="136"/>
      <c r="D24" s="20"/>
      <c r="E24" s="25">
        <f>0.01*A13*12</f>
        <v>552.828</v>
      </c>
    </row>
    <row r="25" spans="1:5" ht="12.75" customHeight="1">
      <c r="A25" s="135" t="s">
        <v>114</v>
      </c>
      <c r="B25" s="136"/>
      <c r="C25" s="136"/>
      <c r="D25" s="191"/>
      <c r="E25" s="26">
        <f>0.13*A13*12</f>
        <v>7186.763999999999</v>
      </c>
    </row>
    <row r="26" spans="1:5" ht="12.75" customHeight="1">
      <c r="A26" s="138" t="s">
        <v>295</v>
      </c>
      <c r="B26" s="139"/>
      <c r="C26" s="139"/>
      <c r="D26" s="20"/>
      <c r="E26" s="18">
        <f>E27+E28+E29+E30+E32+E34+E31+E33</f>
        <v>90524.2016</v>
      </c>
    </row>
    <row r="27" spans="1:5" ht="12.75" customHeight="1">
      <c r="A27" s="135" t="s">
        <v>115</v>
      </c>
      <c r="B27" s="136"/>
      <c r="C27" s="136"/>
      <c r="D27" s="20"/>
      <c r="E27" s="25">
        <f>220*1.5*101.01</f>
        <v>33333.3</v>
      </c>
    </row>
    <row r="28" spans="1:5" ht="12.75" customHeight="1">
      <c r="A28" s="135" t="s">
        <v>116</v>
      </c>
      <c r="B28" s="136"/>
      <c r="C28" s="136"/>
      <c r="D28" s="20"/>
      <c r="E28" s="25">
        <f>220*1.5*38.06</f>
        <v>12559.800000000001</v>
      </c>
    </row>
    <row r="29" spans="1:5" ht="12.75" customHeight="1">
      <c r="A29" s="135" t="s">
        <v>117</v>
      </c>
      <c r="B29" s="136"/>
      <c r="C29" s="136"/>
      <c r="D29" s="20"/>
      <c r="E29" s="26">
        <f>7800*2.89</f>
        <v>22542</v>
      </c>
    </row>
    <row r="30" spans="1:5" ht="12.75" customHeight="1">
      <c r="A30" s="135" t="s">
        <v>396</v>
      </c>
      <c r="B30" s="136"/>
      <c r="C30" s="136"/>
      <c r="D30" s="20"/>
      <c r="E30" s="25">
        <f>0.002*A13*12</f>
        <v>110.56559999999999</v>
      </c>
    </row>
    <row r="31" spans="1:5" ht="12.75" customHeight="1">
      <c r="A31" s="135" t="s">
        <v>118</v>
      </c>
      <c r="B31" s="136"/>
      <c r="C31" s="136"/>
      <c r="D31" s="20"/>
      <c r="E31" s="25">
        <f>1.61*1164</f>
        <v>1874.0400000000002</v>
      </c>
    </row>
    <row r="32" spans="1:5" ht="12.75" customHeight="1">
      <c r="A32" s="135" t="s">
        <v>119</v>
      </c>
      <c r="B32" s="136"/>
      <c r="C32" s="136"/>
      <c r="D32" s="20"/>
      <c r="E32" s="25">
        <f>0.32*A13*12</f>
        <v>17690.496</v>
      </c>
    </row>
    <row r="33" spans="1:5" ht="12.75" customHeight="1">
      <c r="A33" s="135" t="s">
        <v>101</v>
      </c>
      <c r="B33" s="136"/>
      <c r="C33" s="136"/>
      <c r="D33" s="20"/>
      <c r="E33" s="25">
        <f>100*6.08+100*18.06</f>
        <v>2414</v>
      </c>
    </row>
    <row r="34" spans="1:5" ht="12.75" customHeight="1">
      <c r="A34" s="27" t="s">
        <v>328</v>
      </c>
      <c r="B34" s="28"/>
      <c r="C34" s="28"/>
      <c r="D34" s="20"/>
      <c r="E34" s="5"/>
    </row>
    <row r="35" spans="1:5" ht="12.75" customHeight="1">
      <c r="A35" s="192" t="s">
        <v>311</v>
      </c>
      <c r="B35" s="193"/>
      <c r="C35" s="193"/>
      <c r="D35" s="29"/>
      <c r="E35" s="8">
        <v>238851</v>
      </c>
    </row>
    <row r="36" spans="1:5" ht="12.75" customHeight="1">
      <c r="A36" s="52" t="s">
        <v>324</v>
      </c>
      <c r="B36" s="53"/>
      <c r="C36" s="53" t="s">
        <v>120</v>
      </c>
      <c r="D36" s="29"/>
      <c r="E36" s="18">
        <f>0.78*A13*12</f>
        <v>43120.584</v>
      </c>
    </row>
    <row r="37" spans="1:5" ht="12.75" customHeight="1">
      <c r="A37" s="168" t="s">
        <v>121</v>
      </c>
      <c r="B37" s="194"/>
      <c r="C37" s="194"/>
      <c r="D37" s="29"/>
      <c r="E37" s="18">
        <f>2.04*A13*12</f>
        <v>112776.91199999998</v>
      </c>
    </row>
    <row r="38" spans="1:5" ht="12.75" customHeight="1">
      <c r="A38" s="35" t="s">
        <v>284</v>
      </c>
      <c r="B38" s="36"/>
      <c r="C38" s="36" t="s">
        <v>397</v>
      </c>
      <c r="D38" s="37"/>
      <c r="E38" s="8">
        <f>0.003*A13*12</f>
        <v>165.84839999999997</v>
      </c>
    </row>
    <row r="39" spans="1:5" ht="12.75" customHeight="1">
      <c r="A39" s="195" t="s">
        <v>367</v>
      </c>
      <c r="B39" s="196"/>
      <c r="C39" s="196"/>
      <c r="D39" s="29"/>
      <c r="E39" s="8">
        <f>E38+E37+E36+E35+E26+E20</f>
        <v>581889.3463999999</v>
      </c>
    </row>
    <row r="40" spans="1:5" ht="12.75" customHeight="1">
      <c r="A40" s="146" t="s">
        <v>398</v>
      </c>
      <c r="B40" s="147"/>
      <c r="C40" s="147"/>
      <c r="D40" s="29"/>
      <c r="E40" s="19">
        <f>E39*0.06</f>
        <v>34913.360784</v>
      </c>
    </row>
    <row r="41" spans="1:5" ht="12.75" customHeight="1">
      <c r="A41" s="177" t="s">
        <v>83</v>
      </c>
      <c r="B41" s="178"/>
      <c r="C41" s="117"/>
      <c r="D41" s="29"/>
      <c r="E41" s="19">
        <f>A13*11.27*12*0.01</f>
        <v>6230.37156</v>
      </c>
    </row>
    <row r="42" spans="1:5" ht="12.75" customHeight="1">
      <c r="A42" s="195" t="s">
        <v>316</v>
      </c>
      <c r="B42" s="196"/>
      <c r="C42" s="196"/>
      <c r="D42" s="29"/>
      <c r="E42" s="8">
        <f>SUM(E39:E41)</f>
        <v>623033.0787439999</v>
      </c>
    </row>
    <row r="43" spans="1:5" ht="12.75">
      <c r="A43" s="7" t="s">
        <v>307</v>
      </c>
      <c r="B43" s="38"/>
      <c r="C43" s="39"/>
      <c r="D43" s="8" t="s">
        <v>296</v>
      </c>
      <c r="E43" s="103">
        <f>E42/A13/12</f>
        <v>11.269926247295723</v>
      </c>
    </row>
    <row r="44" spans="1:5" ht="12.75" customHeight="1">
      <c r="A44" s="10"/>
      <c r="B44" s="11"/>
      <c r="C44" s="12"/>
      <c r="D44" s="12"/>
      <c r="E44" s="1"/>
    </row>
  </sheetData>
  <mergeCells count="24">
    <mergeCell ref="A19:C19"/>
    <mergeCell ref="A21:C21"/>
    <mergeCell ref="A22:C22"/>
    <mergeCell ref="A6:E6"/>
    <mergeCell ref="A11:E11"/>
    <mergeCell ref="A15:A16"/>
    <mergeCell ref="C15:C16"/>
    <mergeCell ref="A23:C23"/>
    <mergeCell ref="A24:C24"/>
    <mergeCell ref="A25:D25"/>
    <mergeCell ref="A26:C26"/>
    <mergeCell ref="A27:C27"/>
    <mergeCell ref="A28:C28"/>
    <mergeCell ref="A29:C29"/>
    <mergeCell ref="A30:C30"/>
    <mergeCell ref="A31:C31"/>
    <mergeCell ref="A32:C32"/>
    <mergeCell ref="A33:C33"/>
    <mergeCell ref="A40:C40"/>
    <mergeCell ref="A42:C42"/>
    <mergeCell ref="A35:C35"/>
    <mergeCell ref="A37:C37"/>
    <mergeCell ref="A39:C39"/>
    <mergeCell ref="A41:B41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40" sqref="A40:E40"/>
    </sheetView>
  </sheetViews>
  <sheetFormatPr defaultColWidth="9.00390625" defaultRowHeight="12.75"/>
  <cols>
    <col min="1" max="1" width="18.625" style="0" customWidth="1"/>
    <col min="2" max="2" width="20.00390625" style="0" customWidth="1"/>
    <col min="3" max="3" width="15.875" style="0" customWidth="1"/>
    <col min="4" max="4" width="14.375" style="0" customWidth="1"/>
    <col min="5" max="5" width="13.37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2.5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425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3616.4</v>
      </c>
      <c r="B13" s="48">
        <v>309.2</v>
      </c>
      <c r="C13" s="48">
        <v>1535.5</v>
      </c>
      <c r="D13" s="48"/>
      <c r="E13" s="6">
        <v>1939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426</v>
      </c>
      <c r="C15" s="134" t="s">
        <v>427</v>
      </c>
      <c r="D15" s="21"/>
      <c r="E15" s="1"/>
    </row>
    <row r="16" spans="1:5" ht="12.75">
      <c r="A16" s="172"/>
      <c r="B16" s="49" t="s">
        <v>428</v>
      </c>
      <c r="C16" s="172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24" t="s">
        <v>293</v>
      </c>
      <c r="B18" s="125"/>
      <c r="C18" s="125"/>
      <c r="D18" s="46"/>
      <c r="E18" s="47" t="s">
        <v>297</v>
      </c>
    </row>
    <row r="19" spans="1:5" ht="12.75">
      <c r="A19" s="40" t="s">
        <v>294</v>
      </c>
      <c r="B19" s="41"/>
      <c r="C19" s="41"/>
      <c r="D19" s="42"/>
      <c r="E19" s="23">
        <f>E21+E22+E23+E24</f>
        <v>89800.79759999999</v>
      </c>
    </row>
    <row r="20" spans="1:5" ht="12.75">
      <c r="A20" s="126" t="s">
        <v>305</v>
      </c>
      <c r="B20" s="120"/>
      <c r="C20" s="120"/>
      <c r="D20" s="45"/>
      <c r="E20" s="20"/>
    </row>
    <row r="21" spans="1:5" ht="12.75">
      <c r="A21" s="121" t="s">
        <v>122</v>
      </c>
      <c r="B21" s="122"/>
      <c r="C21" s="122"/>
      <c r="D21" s="43"/>
      <c r="E21" s="44">
        <f>0.564*5800*1.75*1.203*12</f>
        <v>82640.3256</v>
      </c>
    </row>
    <row r="22" spans="1:5" ht="12.75">
      <c r="A22" s="135" t="s">
        <v>123</v>
      </c>
      <c r="B22" s="136"/>
      <c r="C22" s="136"/>
      <c r="D22" s="20"/>
      <c r="E22" s="25">
        <f>0.025*A13*12</f>
        <v>1084.92</v>
      </c>
    </row>
    <row r="23" spans="1:5" ht="12.75">
      <c r="A23" s="135" t="s">
        <v>124</v>
      </c>
      <c r="B23" s="136"/>
      <c r="C23" s="136"/>
      <c r="D23" s="20"/>
      <c r="E23" s="25">
        <f>0.01*A13*12</f>
        <v>433.968</v>
      </c>
    </row>
    <row r="24" spans="1:5" ht="12.75">
      <c r="A24" s="135" t="s">
        <v>125</v>
      </c>
      <c r="B24" s="136"/>
      <c r="C24" s="136"/>
      <c r="D24" s="137"/>
      <c r="E24" s="26">
        <f>0.13*A13*12</f>
        <v>5641.584</v>
      </c>
    </row>
    <row r="25" spans="1:5" ht="12.75">
      <c r="A25" s="138" t="s">
        <v>295</v>
      </c>
      <c r="B25" s="139"/>
      <c r="C25" s="139"/>
      <c r="D25" s="20"/>
      <c r="E25" s="18">
        <f>E26+E27+E28+E29+E31+E33+E32+E30</f>
        <v>77539.53259999999</v>
      </c>
    </row>
    <row r="26" spans="1:5" ht="12.75">
      <c r="A26" s="135" t="s">
        <v>126</v>
      </c>
      <c r="B26" s="136"/>
      <c r="C26" s="136"/>
      <c r="D26" s="20"/>
      <c r="E26" s="25">
        <f>172*1.5*101.01</f>
        <v>26060.58</v>
      </c>
    </row>
    <row r="27" spans="1:5" ht="12.75">
      <c r="A27" s="135" t="s">
        <v>127</v>
      </c>
      <c r="B27" s="136"/>
      <c r="C27" s="136"/>
      <c r="D27" s="20"/>
      <c r="E27" s="25">
        <f>1.5*180*35.02</f>
        <v>9455.400000000001</v>
      </c>
    </row>
    <row r="28" spans="1:5" ht="12.75">
      <c r="A28" s="135" t="s">
        <v>128</v>
      </c>
      <c r="B28" s="136"/>
      <c r="C28" s="136"/>
      <c r="D28" s="20"/>
      <c r="E28" s="26">
        <f>5700*2.89</f>
        <v>16473</v>
      </c>
    </row>
    <row r="29" spans="1:5" ht="12.75">
      <c r="A29" s="135" t="s">
        <v>429</v>
      </c>
      <c r="B29" s="136"/>
      <c r="C29" s="136"/>
      <c r="D29" s="20"/>
      <c r="E29" s="25">
        <f>0.002*A13*12</f>
        <v>86.7936</v>
      </c>
    </row>
    <row r="30" spans="1:5" ht="12.75">
      <c r="A30" s="135" t="s">
        <v>129</v>
      </c>
      <c r="B30" s="136"/>
      <c r="C30" s="136"/>
      <c r="D30" s="20"/>
      <c r="E30" s="25">
        <f>1.61*1010.3</f>
        <v>1626.583</v>
      </c>
    </row>
    <row r="31" spans="1:5" ht="12.75">
      <c r="A31" s="135" t="s">
        <v>91</v>
      </c>
      <c r="B31" s="136"/>
      <c r="C31" s="136"/>
      <c r="D31" s="20"/>
      <c r="E31" s="25">
        <f>0.32*A13*12</f>
        <v>13886.976</v>
      </c>
    </row>
    <row r="32" spans="1:5" ht="12.75">
      <c r="A32" s="135" t="s">
        <v>130</v>
      </c>
      <c r="B32" s="136"/>
      <c r="C32" s="136"/>
      <c r="D32" s="20"/>
      <c r="E32" s="25">
        <f>65*6.08</f>
        <v>395.2</v>
      </c>
    </row>
    <row r="33" spans="1:5" ht="12.75">
      <c r="A33" s="27" t="s">
        <v>308</v>
      </c>
      <c r="B33" s="28" t="s">
        <v>682</v>
      </c>
      <c r="C33" s="28"/>
      <c r="D33" s="20"/>
      <c r="E33" s="5">
        <f>65*147</f>
        <v>9555</v>
      </c>
    </row>
    <row r="34" spans="1:5" ht="12.75">
      <c r="A34" s="140" t="s">
        <v>311</v>
      </c>
      <c r="B34" s="141"/>
      <c r="C34" s="141"/>
      <c r="D34" s="29"/>
      <c r="E34" s="8">
        <v>166950</v>
      </c>
    </row>
    <row r="35" spans="1:5" ht="12.75">
      <c r="A35" s="52" t="s">
        <v>324</v>
      </c>
      <c r="B35" s="53"/>
      <c r="C35" s="53" t="s">
        <v>131</v>
      </c>
      <c r="D35" s="29"/>
      <c r="E35" s="18">
        <f>0.78*A13*12</f>
        <v>33849.504</v>
      </c>
    </row>
    <row r="36" spans="1:5" ht="12.75">
      <c r="A36" s="142" t="s">
        <v>132</v>
      </c>
      <c r="B36" s="143"/>
      <c r="C36" s="143"/>
      <c r="D36" s="29"/>
      <c r="E36" s="18">
        <f>2.04*A13*12</f>
        <v>88529.47200000001</v>
      </c>
    </row>
    <row r="37" spans="1:5" ht="12.75">
      <c r="A37" s="35" t="s">
        <v>284</v>
      </c>
      <c r="B37" s="36"/>
      <c r="C37" s="36" t="s">
        <v>430</v>
      </c>
      <c r="D37" s="37"/>
      <c r="E37" s="8">
        <f>0.003*A13*12</f>
        <v>130.1904</v>
      </c>
    </row>
    <row r="38" spans="1:5" ht="12.75">
      <c r="A38" s="144" t="s">
        <v>367</v>
      </c>
      <c r="B38" s="145"/>
      <c r="C38" s="145"/>
      <c r="D38" s="29"/>
      <c r="E38" s="8">
        <f>E37+E36+E35+E34+E25+E19</f>
        <v>456799.49659999995</v>
      </c>
    </row>
    <row r="39" spans="1:5" ht="12.75">
      <c r="A39" s="146" t="s">
        <v>398</v>
      </c>
      <c r="B39" s="147"/>
      <c r="C39" s="147"/>
      <c r="D39" s="29"/>
      <c r="E39" s="19">
        <f>E38*0.06</f>
        <v>27407.969795999998</v>
      </c>
    </row>
    <row r="40" spans="1:5" ht="12.75">
      <c r="A40" s="177" t="s">
        <v>83</v>
      </c>
      <c r="B40" s="178"/>
      <c r="C40" s="117"/>
      <c r="D40" s="29"/>
      <c r="E40" s="19">
        <f>A13*11.27*12*0.01</f>
        <v>4890.81936</v>
      </c>
    </row>
    <row r="41" spans="1:5" ht="12.75">
      <c r="A41" s="144" t="s">
        <v>316</v>
      </c>
      <c r="B41" s="145"/>
      <c r="C41" s="145"/>
      <c r="D41" s="29"/>
      <c r="E41" s="8">
        <f>SUM(E38:E40)</f>
        <v>489098.28575599997</v>
      </c>
    </row>
    <row r="42" spans="1:5" ht="12.75">
      <c r="A42" s="7" t="s">
        <v>307</v>
      </c>
      <c r="B42" s="38"/>
      <c r="C42" s="39"/>
      <c r="D42" s="8" t="s">
        <v>296</v>
      </c>
      <c r="E42" s="103">
        <f>E41/A13/12</f>
        <v>11.270376750267301</v>
      </c>
    </row>
  </sheetData>
  <mergeCells count="24">
    <mergeCell ref="A18:C18"/>
    <mergeCell ref="A20:C20"/>
    <mergeCell ref="A21:C21"/>
    <mergeCell ref="A6:E6"/>
    <mergeCell ref="A11:E11"/>
    <mergeCell ref="A15:A16"/>
    <mergeCell ref="C15:C16"/>
    <mergeCell ref="A22:C22"/>
    <mergeCell ref="A23:C23"/>
    <mergeCell ref="A24:D24"/>
    <mergeCell ref="A25:C25"/>
    <mergeCell ref="A30:C30"/>
    <mergeCell ref="A31:C31"/>
    <mergeCell ref="A32:C32"/>
    <mergeCell ref="A26:C26"/>
    <mergeCell ref="A27:C27"/>
    <mergeCell ref="A28:C28"/>
    <mergeCell ref="A29:C29"/>
    <mergeCell ref="A39:C39"/>
    <mergeCell ref="A41:C41"/>
    <mergeCell ref="A34:C34"/>
    <mergeCell ref="A36:C36"/>
    <mergeCell ref="A38:C38"/>
    <mergeCell ref="A40:B40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46" sqref="E46"/>
    </sheetView>
  </sheetViews>
  <sheetFormatPr defaultColWidth="9.00390625" defaultRowHeight="12.75"/>
  <cols>
    <col min="1" max="1" width="18.125" style="0" customWidth="1"/>
    <col min="2" max="2" width="18.375" style="0" customWidth="1"/>
    <col min="3" max="3" width="18.75390625" style="0" customWidth="1"/>
    <col min="4" max="4" width="14.625" style="0" customWidth="1"/>
    <col min="5" max="5" width="12.1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8" spans="1:5" ht="20.25" customHeight="1">
      <c r="A8" s="170" t="s">
        <v>547</v>
      </c>
      <c r="B8" s="171"/>
      <c r="C8" s="171"/>
      <c r="D8" s="171"/>
      <c r="E8" s="171"/>
    </row>
    <row r="9" spans="1:5" ht="15.75">
      <c r="A9" s="2" t="s">
        <v>296</v>
      </c>
      <c r="B9" s="2"/>
      <c r="C9" s="1"/>
      <c r="D9" s="1"/>
      <c r="E9" s="1"/>
    </row>
    <row r="10" spans="1:5" ht="14.25">
      <c r="A10" s="3" t="s">
        <v>431</v>
      </c>
      <c r="B10" s="1"/>
      <c r="C10" s="1"/>
      <c r="D10" s="1"/>
      <c r="E10" s="1"/>
    </row>
    <row r="11" spans="1:5" ht="14.25">
      <c r="A11" s="3"/>
      <c r="B11" s="1"/>
      <c r="C11" s="1"/>
      <c r="D11" s="51"/>
      <c r="E11" s="1"/>
    </row>
    <row r="12" spans="1:5" ht="14.25">
      <c r="A12" s="3"/>
      <c r="B12" s="1"/>
      <c r="C12" s="1"/>
      <c r="D12" s="1"/>
      <c r="E12" s="1"/>
    </row>
    <row r="13" spans="1:5" ht="12.75">
      <c r="A13" s="129" t="s">
        <v>299</v>
      </c>
      <c r="B13" s="130"/>
      <c r="C13" s="130"/>
      <c r="D13" s="130"/>
      <c r="E13" s="131"/>
    </row>
    <row r="14" spans="1:5" ht="12.75">
      <c r="A14" s="17" t="s">
        <v>300</v>
      </c>
      <c r="B14" s="17" t="s">
        <v>301</v>
      </c>
      <c r="C14" s="17" t="s">
        <v>302</v>
      </c>
      <c r="D14" s="17" t="s">
        <v>303</v>
      </c>
      <c r="E14" s="17" t="s">
        <v>298</v>
      </c>
    </row>
    <row r="15" spans="1:5" ht="14.25">
      <c r="A15" s="50">
        <v>4881.3</v>
      </c>
      <c r="B15" s="48">
        <v>304.7</v>
      </c>
      <c r="C15" s="48">
        <v>1012.1</v>
      </c>
      <c r="D15" s="48"/>
      <c r="E15" s="6">
        <v>6301</v>
      </c>
    </row>
    <row r="16" spans="1:5" ht="14.25">
      <c r="A16" s="3"/>
      <c r="B16" s="1"/>
      <c r="C16" s="1"/>
      <c r="D16" s="1"/>
      <c r="E16" s="1"/>
    </row>
    <row r="17" spans="1:5" ht="12.75">
      <c r="A17" s="132" t="s">
        <v>304</v>
      </c>
      <c r="B17" s="49" t="s">
        <v>432</v>
      </c>
      <c r="C17" s="134" t="s">
        <v>433</v>
      </c>
      <c r="D17" s="21"/>
      <c r="E17" s="1"/>
    </row>
    <row r="18" spans="1:5" ht="12.75">
      <c r="A18" s="172"/>
      <c r="B18" s="49" t="s">
        <v>434</v>
      </c>
      <c r="C18" s="172"/>
      <c r="D18" s="1"/>
      <c r="E18" s="1"/>
    </row>
    <row r="19" spans="1:5" ht="12.75">
      <c r="A19" s="68"/>
      <c r="B19" s="65"/>
      <c r="C19" s="68"/>
      <c r="D19" s="1"/>
      <c r="E19" s="1"/>
    </row>
    <row r="20" spans="1:5" ht="12.75">
      <c r="A20" s="4"/>
      <c r="B20" s="1"/>
      <c r="C20" s="1"/>
      <c r="D20" s="1"/>
      <c r="E20" s="1"/>
    </row>
    <row r="21" spans="1:5" ht="12.75">
      <c r="A21" s="124" t="s">
        <v>293</v>
      </c>
      <c r="B21" s="125"/>
      <c r="C21" s="125"/>
      <c r="D21" s="46"/>
      <c r="E21" s="47" t="s">
        <v>297</v>
      </c>
    </row>
    <row r="22" spans="1:5" ht="12.75">
      <c r="A22" s="40" t="s">
        <v>294</v>
      </c>
      <c r="B22" s="41"/>
      <c r="C22" s="41"/>
      <c r="D22" s="42"/>
      <c r="E22" s="23">
        <f>E24+E25+E26+E27</f>
        <v>92581.17659999998</v>
      </c>
    </row>
    <row r="23" spans="1:5" ht="12.75">
      <c r="A23" s="126" t="s">
        <v>305</v>
      </c>
      <c r="B23" s="120"/>
      <c r="C23" s="120"/>
      <c r="D23" s="45"/>
      <c r="E23" s="20"/>
    </row>
    <row r="24" spans="1:5" ht="12.75">
      <c r="A24" s="121" t="s">
        <v>683</v>
      </c>
      <c r="B24" s="122"/>
      <c r="C24" s="122"/>
      <c r="D24" s="43"/>
      <c r="E24" s="44">
        <f>0.539*5800*1.75*1.263*12</f>
        <v>82916.20259999999</v>
      </c>
    </row>
    <row r="25" spans="1:5" ht="12.75">
      <c r="A25" s="135" t="s">
        <v>684</v>
      </c>
      <c r="B25" s="136"/>
      <c r="C25" s="136"/>
      <c r="D25" s="20"/>
      <c r="E25" s="25">
        <f>0.025*A15*12</f>
        <v>1464.39</v>
      </c>
    </row>
    <row r="26" spans="1:5" ht="12.75">
      <c r="A26" s="135" t="s">
        <v>685</v>
      </c>
      <c r="B26" s="136"/>
      <c r="C26" s="136"/>
      <c r="D26" s="20"/>
      <c r="E26" s="25">
        <f>0.01*A15*12</f>
        <v>585.7560000000001</v>
      </c>
    </row>
    <row r="27" spans="1:5" ht="12.75">
      <c r="A27" s="135" t="s">
        <v>686</v>
      </c>
      <c r="B27" s="136"/>
      <c r="C27" s="136"/>
      <c r="D27" s="137"/>
      <c r="E27" s="26">
        <f>0.13*A15*12</f>
        <v>7614.828000000001</v>
      </c>
    </row>
    <row r="28" spans="1:5" ht="12.75">
      <c r="A28" s="138" t="s">
        <v>295</v>
      </c>
      <c r="B28" s="139"/>
      <c r="C28" s="139"/>
      <c r="D28" s="20"/>
      <c r="E28" s="18">
        <f>E29+E30+E31+E32+E34+E36+E35+E33</f>
        <v>107597.7502</v>
      </c>
    </row>
    <row r="29" spans="1:5" ht="12.75">
      <c r="A29" s="135" t="s">
        <v>687</v>
      </c>
      <c r="B29" s="136"/>
      <c r="C29" s="136"/>
      <c r="D29" s="20"/>
      <c r="E29" s="25">
        <f>207*1.5*101.01</f>
        <v>31363.605000000003</v>
      </c>
    </row>
    <row r="30" spans="1:5" ht="12.75">
      <c r="A30" s="135" t="s">
        <v>688</v>
      </c>
      <c r="B30" s="136"/>
      <c r="C30" s="136"/>
      <c r="D30" s="20"/>
      <c r="E30" s="25">
        <f>1.5*207*38.06</f>
        <v>11817.630000000001</v>
      </c>
    </row>
    <row r="31" spans="1:5" ht="12.75">
      <c r="A31" s="135" t="s">
        <v>689</v>
      </c>
      <c r="B31" s="136"/>
      <c r="C31" s="136"/>
      <c r="D31" s="20"/>
      <c r="E31" s="26">
        <f>11000*2.89</f>
        <v>31790</v>
      </c>
    </row>
    <row r="32" spans="1:5" ht="12.75">
      <c r="A32" s="135" t="s">
        <v>435</v>
      </c>
      <c r="B32" s="136"/>
      <c r="C32" s="136"/>
      <c r="D32" s="20"/>
      <c r="E32" s="25">
        <f>0.002*A15*12</f>
        <v>117.15120000000002</v>
      </c>
    </row>
    <row r="33" spans="1:5" ht="12.75">
      <c r="A33" s="135" t="s">
        <v>690</v>
      </c>
      <c r="B33" s="136"/>
      <c r="C33" s="136"/>
      <c r="D33" s="20"/>
      <c r="E33" s="25">
        <f>1.61*1084</f>
        <v>1745.24</v>
      </c>
    </row>
    <row r="34" spans="1:5" ht="12.75">
      <c r="A34" s="135" t="s">
        <v>436</v>
      </c>
      <c r="B34" s="136"/>
      <c r="C34" s="136"/>
      <c r="D34" s="20"/>
      <c r="E34" s="25">
        <f>0.29*A15*12</f>
        <v>16986.924</v>
      </c>
    </row>
    <row r="35" spans="1:5" ht="12.75">
      <c r="A35" s="135" t="s">
        <v>691</v>
      </c>
      <c r="B35" s="136"/>
      <c r="C35" s="136"/>
      <c r="D35" s="20"/>
      <c r="E35" s="25">
        <f>90*6.08</f>
        <v>547.2</v>
      </c>
    </row>
    <row r="36" spans="1:5" ht="12.75">
      <c r="A36" s="27" t="s">
        <v>308</v>
      </c>
      <c r="B36" s="28" t="s">
        <v>692</v>
      </c>
      <c r="C36" s="28"/>
      <c r="D36" s="20"/>
      <c r="E36" s="5">
        <f>90*147</f>
        <v>13230</v>
      </c>
    </row>
    <row r="37" spans="1:5" ht="12.75">
      <c r="A37" s="140" t="s">
        <v>311</v>
      </c>
      <c r="B37" s="141"/>
      <c r="C37" s="141"/>
      <c r="D37" s="29"/>
      <c r="E37" s="8">
        <v>251001</v>
      </c>
    </row>
    <row r="38" spans="1:5" ht="12.75">
      <c r="A38" s="52" t="s">
        <v>324</v>
      </c>
      <c r="B38" s="53"/>
      <c r="C38" s="53" t="s">
        <v>693</v>
      </c>
      <c r="D38" s="29"/>
      <c r="E38" s="18">
        <f>0.78*A15*12</f>
        <v>45688.968</v>
      </c>
    </row>
    <row r="39" spans="1:5" ht="12.75">
      <c r="A39" s="142" t="s">
        <v>694</v>
      </c>
      <c r="B39" s="143"/>
      <c r="C39" s="143"/>
      <c r="D39" s="29"/>
      <c r="E39" s="18">
        <f>2.04*A15*12</f>
        <v>119494.22400000002</v>
      </c>
    </row>
    <row r="40" spans="1:5" ht="12.75">
      <c r="A40" s="35" t="s">
        <v>284</v>
      </c>
      <c r="B40" s="36"/>
      <c r="C40" s="36" t="s">
        <v>437</v>
      </c>
      <c r="D40" s="37"/>
      <c r="E40" s="8">
        <f>0.003*A15*12</f>
        <v>175.7268</v>
      </c>
    </row>
    <row r="41" spans="1:5" ht="12.75">
      <c r="A41" s="144" t="s">
        <v>367</v>
      </c>
      <c r="B41" s="145"/>
      <c r="C41" s="145"/>
      <c r="D41" s="29"/>
      <c r="E41" s="8">
        <f>E40+E39+E38+E37+E28+E22</f>
        <v>616538.8456</v>
      </c>
    </row>
    <row r="42" spans="1:5" ht="12.75">
      <c r="A42" s="146" t="s">
        <v>398</v>
      </c>
      <c r="B42" s="147"/>
      <c r="C42" s="147"/>
      <c r="D42" s="29"/>
      <c r="E42" s="19">
        <f>E41*0.06</f>
        <v>36992.330735999996</v>
      </c>
    </row>
    <row r="43" spans="1:5" ht="12.75">
      <c r="A43" s="177" t="s">
        <v>83</v>
      </c>
      <c r="B43" s="178"/>
      <c r="C43" s="117"/>
      <c r="D43" s="29"/>
      <c r="E43" s="19">
        <f>A15*11.27*12*0.01</f>
        <v>6601.47012</v>
      </c>
    </row>
    <row r="44" spans="1:5" ht="12.75">
      <c r="A44" s="144" t="s">
        <v>316</v>
      </c>
      <c r="B44" s="145"/>
      <c r="C44" s="145"/>
      <c r="D44" s="29"/>
      <c r="E44" s="8">
        <f>SUM(E41:E43)</f>
        <v>660132.6464559999</v>
      </c>
    </row>
    <row r="45" spans="1:5" ht="12.75">
      <c r="A45" s="7" t="s">
        <v>307</v>
      </c>
      <c r="B45" s="38"/>
      <c r="C45" s="39"/>
      <c r="D45" s="8" t="s">
        <v>296</v>
      </c>
      <c r="E45" s="103">
        <f>E44/A15/12</f>
        <v>11.26975475208107</v>
      </c>
    </row>
  </sheetData>
  <mergeCells count="24">
    <mergeCell ref="A21:C21"/>
    <mergeCell ref="A23:C23"/>
    <mergeCell ref="A24:C24"/>
    <mergeCell ref="A8:E8"/>
    <mergeCell ref="A13:E13"/>
    <mergeCell ref="A17:A18"/>
    <mergeCell ref="C17:C18"/>
    <mergeCell ref="A25:C25"/>
    <mergeCell ref="A26:C26"/>
    <mergeCell ref="A27:D27"/>
    <mergeCell ref="A28:C28"/>
    <mergeCell ref="A33:C33"/>
    <mergeCell ref="A34:C34"/>
    <mergeCell ref="A35:C35"/>
    <mergeCell ref="A29:C29"/>
    <mergeCell ref="A30:C30"/>
    <mergeCell ref="A31:C31"/>
    <mergeCell ref="A32:C32"/>
    <mergeCell ref="A42:C42"/>
    <mergeCell ref="A44:C44"/>
    <mergeCell ref="A37:C37"/>
    <mergeCell ref="A39:C39"/>
    <mergeCell ref="A41:C41"/>
    <mergeCell ref="A43:B4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0" sqref="A40:E40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438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3229.7</v>
      </c>
      <c r="B13" s="48">
        <v>245.5</v>
      </c>
      <c r="C13" s="48">
        <v>619</v>
      </c>
      <c r="D13" s="48"/>
      <c r="E13" s="6">
        <v>4082.9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439</v>
      </c>
      <c r="C15" s="134" t="s">
        <v>440</v>
      </c>
      <c r="D15" s="21"/>
      <c r="E15" s="1"/>
    </row>
    <row r="16" spans="1:5" ht="12.75">
      <c r="A16" s="172"/>
      <c r="B16" s="49" t="s">
        <v>441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55627.34040000001</v>
      </c>
    </row>
    <row r="21" spans="1:5" ht="12.75">
      <c r="A21" s="126" t="s">
        <v>305</v>
      </c>
      <c r="B21" s="120"/>
      <c r="C21" s="120"/>
      <c r="D21" s="45"/>
      <c r="E21" s="20"/>
    </row>
    <row r="22" spans="1:5" ht="12.75">
      <c r="A22" s="121" t="s">
        <v>695</v>
      </c>
      <c r="B22" s="122"/>
      <c r="C22" s="122"/>
      <c r="D22" s="43"/>
      <c r="E22" s="44">
        <f>0.336*5800*1.75*1.203*12</f>
        <v>49232.534400000004</v>
      </c>
    </row>
    <row r="23" spans="1:5" ht="12.75">
      <c r="A23" s="135" t="s">
        <v>696</v>
      </c>
      <c r="B23" s="136"/>
      <c r="C23" s="136"/>
      <c r="D23" s="20"/>
      <c r="E23" s="25">
        <f>0.025*A13*12</f>
        <v>968.9100000000001</v>
      </c>
    </row>
    <row r="24" spans="1:5" ht="12.75">
      <c r="A24" s="135" t="s">
        <v>697</v>
      </c>
      <c r="B24" s="136"/>
      <c r="C24" s="136"/>
      <c r="D24" s="20"/>
      <c r="E24" s="25">
        <f>0.01*A13*12</f>
        <v>387.56399999999996</v>
      </c>
    </row>
    <row r="25" spans="1:5" ht="12.75">
      <c r="A25" s="135" t="s">
        <v>698</v>
      </c>
      <c r="B25" s="136"/>
      <c r="C25" s="136"/>
      <c r="D25" s="137"/>
      <c r="E25" s="26">
        <f>0.13*A13*12</f>
        <v>5038.332</v>
      </c>
    </row>
    <row r="26" spans="1:5" ht="12.75">
      <c r="A26" s="138" t="s">
        <v>295</v>
      </c>
      <c r="B26" s="139"/>
      <c r="C26" s="139"/>
      <c r="D26" s="20"/>
      <c r="E26" s="18">
        <f>E27+E28+E29+E30+E31+E33+E32</f>
        <v>85174.7258</v>
      </c>
    </row>
    <row r="27" spans="1:5" ht="12.75">
      <c r="A27" s="135" t="s">
        <v>699</v>
      </c>
      <c r="B27" s="136"/>
      <c r="C27" s="136"/>
      <c r="D27" s="20"/>
      <c r="E27" s="25">
        <f>153*1.5*101.01</f>
        <v>23181.795000000002</v>
      </c>
    </row>
    <row r="28" spans="1:5" ht="12.75">
      <c r="A28" s="135" t="s">
        <v>700</v>
      </c>
      <c r="B28" s="136"/>
      <c r="C28" s="136"/>
      <c r="D28" s="20"/>
      <c r="E28" s="25">
        <f>1.5*153*38.06</f>
        <v>8734.77</v>
      </c>
    </row>
    <row r="29" spans="1:5" ht="12.75">
      <c r="A29" s="135" t="s">
        <v>701</v>
      </c>
      <c r="B29" s="136"/>
      <c r="C29" s="136"/>
      <c r="D29" s="20"/>
      <c r="E29" s="26">
        <f>8100*2.89</f>
        <v>23409</v>
      </c>
    </row>
    <row r="30" spans="1:5" ht="12.75">
      <c r="A30" s="135" t="s">
        <v>442</v>
      </c>
      <c r="B30" s="136"/>
      <c r="C30" s="136"/>
      <c r="D30" s="20"/>
      <c r="E30" s="25">
        <f>0.002*A13*12</f>
        <v>77.5128</v>
      </c>
    </row>
    <row r="31" spans="1:5" ht="12.75">
      <c r="A31" s="135" t="s">
        <v>703</v>
      </c>
      <c r="B31" s="136"/>
      <c r="C31" s="136"/>
      <c r="D31" s="20"/>
      <c r="E31" s="25">
        <f>0.32*A13*12</f>
        <v>12402.047999999999</v>
      </c>
    </row>
    <row r="32" spans="1:5" ht="12.75" customHeight="1">
      <c r="A32" s="135" t="s">
        <v>702</v>
      </c>
      <c r="B32" s="136"/>
      <c r="C32" s="136"/>
      <c r="D32" s="20"/>
      <c r="E32" s="25">
        <f>80*5.44+80*16.17*4</f>
        <v>5609.6</v>
      </c>
    </row>
    <row r="33" spans="1:5" ht="12.75">
      <c r="A33" s="27" t="s">
        <v>308</v>
      </c>
      <c r="B33" s="28" t="s">
        <v>704</v>
      </c>
      <c r="C33" s="28"/>
      <c r="D33" s="20"/>
      <c r="E33" s="5">
        <f>80*147</f>
        <v>11760</v>
      </c>
    </row>
    <row r="34" spans="1:5" ht="12.75">
      <c r="A34" s="140" t="s">
        <v>311</v>
      </c>
      <c r="B34" s="141"/>
      <c r="C34" s="141"/>
      <c r="D34" s="29"/>
      <c r="E34" s="8">
        <v>157720</v>
      </c>
    </row>
    <row r="35" spans="1:5" ht="12.75">
      <c r="A35" s="52" t="s">
        <v>324</v>
      </c>
      <c r="B35" s="53"/>
      <c r="C35" s="53" t="s">
        <v>705</v>
      </c>
      <c r="D35" s="29"/>
      <c r="E35" s="18">
        <f>0.78*A13*12</f>
        <v>30229.992000000002</v>
      </c>
    </row>
    <row r="36" spans="1:5" ht="12.75">
      <c r="A36" s="142" t="s">
        <v>706</v>
      </c>
      <c r="B36" s="143"/>
      <c r="C36" s="143"/>
      <c r="D36" s="29"/>
      <c r="E36" s="18">
        <f>2.04*A13*12</f>
        <v>79063.056</v>
      </c>
    </row>
    <row r="37" spans="1:5" ht="12.75">
      <c r="A37" s="35" t="s">
        <v>284</v>
      </c>
      <c r="B37" s="36"/>
      <c r="C37" s="36" t="s">
        <v>443</v>
      </c>
      <c r="D37" s="37"/>
      <c r="E37" s="8">
        <f>0.003*A13*12</f>
        <v>116.2692</v>
      </c>
    </row>
    <row r="38" spans="1:5" ht="12.75">
      <c r="A38" s="144" t="s">
        <v>367</v>
      </c>
      <c r="B38" s="145"/>
      <c r="C38" s="145"/>
      <c r="D38" s="29"/>
      <c r="E38" s="8">
        <f>E37+E36+E35+E34+E26+E20</f>
        <v>407931.3834</v>
      </c>
    </row>
    <row r="39" spans="1:5" ht="12.75" customHeight="1">
      <c r="A39" s="146" t="s">
        <v>398</v>
      </c>
      <c r="B39" s="147"/>
      <c r="C39" s="147"/>
      <c r="D39" s="29"/>
      <c r="E39" s="19">
        <f>E38*0.06</f>
        <v>24475.883004</v>
      </c>
    </row>
    <row r="40" spans="1:5" ht="12.75" customHeight="1">
      <c r="A40" s="177" t="s">
        <v>83</v>
      </c>
      <c r="B40" s="178"/>
      <c r="C40" s="117"/>
      <c r="D40" s="29"/>
      <c r="E40" s="19">
        <f>A13*11.27*12*0.01</f>
        <v>4367.84628</v>
      </c>
    </row>
    <row r="41" spans="1:5" ht="12.75">
      <c r="A41" s="144" t="s">
        <v>316</v>
      </c>
      <c r="B41" s="145"/>
      <c r="C41" s="145"/>
      <c r="D41" s="29"/>
      <c r="E41" s="8">
        <f>SUM(E38:E40)</f>
        <v>436775.112684</v>
      </c>
    </row>
    <row r="42" spans="1:5" ht="12.75">
      <c r="A42" s="7" t="s">
        <v>307</v>
      </c>
      <c r="B42" s="38"/>
      <c r="C42" s="39"/>
      <c r="D42" s="8" t="s">
        <v>296</v>
      </c>
      <c r="E42" s="103">
        <f>E41/A13/12</f>
        <v>11.269754484007803</v>
      </c>
    </row>
    <row r="43" spans="1:5" ht="12.75">
      <c r="A43" s="10"/>
      <c r="B43" s="11"/>
      <c r="C43" s="12"/>
      <c r="D43" s="12"/>
      <c r="E43" s="1"/>
    </row>
  </sheetData>
  <mergeCells count="23">
    <mergeCell ref="A21:C21"/>
    <mergeCell ref="A22:C22"/>
    <mergeCell ref="A19:C19"/>
    <mergeCell ref="A6:E6"/>
    <mergeCell ref="A11:E11"/>
    <mergeCell ref="A15:A16"/>
    <mergeCell ref="C15:C16"/>
    <mergeCell ref="A23:C23"/>
    <mergeCell ref="A26:C26"/>
    <mergeCell ref="A24:C24"/>
    <mergeCell ref="A25:D25"/>
    <mergeCell ref="A31:C31"/>
    <mergeCell ref="A32:C32"/>
    <mergeCell ref="A27:C27"/>
    <mergeCell ref="A28:C28"/>
    <mergeCell ref="A29:C29"/>
    <mergeCell ref="A30:C30"/>
    <mergeCell ref="A34:C34"/>
    <mergeCell ref="A36:C36"/>
    <mergeCell ref="A41:C41"/>
    <mergeCell ref="A38:C38"/>
    <mergeCell ref="A39:C39"/>
    <mergeCell ref="A40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1" sqref="A41:E41"/>
    </sheetView>
  </sheetViews>
  <sheetFormatPr defaultColWidth="9.00390625" defaultRowHeight="12.75"/>
  <cols>
    <col min="1" max="1" width="16.25390625" style="0" customWidth="1"/>
    <col min="2" max="2" width="19.125" style="0" customWidth="1"/>
    <col min="3" max="3" width="16.25390625" style="0" customWidth="1"/>
    <col min="4" max="4" width="13.375" style="0" customWidth="1"/>
    <col min="5" max="5" width="14.2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18.75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444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1994.7</v>
      </c>
      <c r="B13" s="48">
        <v>169.1</v>
      </c>
      <c r="C13" s="48">
        <v>761.9</v>
      </c>
      <c r="D13" s="48"/>
      <c r="E13" s="6">
        <v>1094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445</v>
      </c>
      <c r="C15" s="134" t="s">
        <v>446</v>
      </c>
      <c r="D15" s="21"/>
      <c r="E15" s="1"/>
    </row>
    <row r="16" spans="1:5" ht="12.75">
      <c r="A16" s="172"/>
      <c r="B16" s="49" t="s">
        <v>447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47484.3582</v>
      </c>
    </row>
    <row r="21" spans="1:5" ht="12.75">
      <c r="A21" s="126" t="s">
        <v>305</v>
      </c>
      <c r="B21" s="120"/>
      <c r="C21" s="120"/>
      <c r="D21" s="45"/>
      <c r="E21" s="20"/>
    </row>
    <row r="22" spans="1:5" ht="12.75">
      <c r="A22" s="121" t="s">
        <v>707</v>
      </c>
      <c r="B22" s="122"/>
      <c r="C22" s="122"/>
      <c r="D22" s="43"/>
      <c r="E22" s="44">
        <f>0.283*5800*1.75*1.263*12</f>
        <v>43534.852199999994</v>
      </c>
    </row>
    <row r="23" spans="1:5" ht="12.75">
      <c r="A23" s="135" t="s">
        <v>708</v>
      </c>
      <c r="B23" s="136"/>
      <c r="C23" s="136"/>
      <c r="D23" s="20"/>
      <c r="E23" s="25">
        <f>0.025*A13*12</f>
        <v>598.4100000000001</v>
      </c>
    </row>
    <row r="24" spans="1:5" ht="12.75">
      <c r="A24" s="135" t="s">
        <v>709</v>
      </c>
      <c r="B24" s="136"/>
      <c r="C24" s="136"/>
      <c r="D24" s="20"/>
      <c r="E24" s="25">
        <f>0.01*A13*12</f>
        <v>239.36399999999998</v>
      </c>
    </row>
    <row r="25" spans="1:5" ht="12.75">
      <c r="A25" s="135" t="s">
        <v>710</v>
      </c>
      <c r="B25" s="136"/>
      <c r="C25" s="136"/>
      <c r="D25" s="137"/>
      <c r="E25" s="26">
        <f>0.13*A13*12</f>
        <v>3111.7320000000004</v>
      </c>
    </row>
    <row r="26" spans="1:5" ht="12.75">
      <c r="A26" s="138" t="s">
        <v>295</v>
      </c>
      <c r="B26" s="139"/>
      <c r="C26" s="139"/>
      <c r="D26" s="20"/>
      <c r="E26" s="18">
        <f>E27+E28+E29+E30+E32+E34+E33+E31</f>
        <v>43322.055799999995</v>
      </c>
    </row>
    <row r="27" spans="1:5" ht="12.75">
      <c r="A27" s="135" t="s">
        <v>711</v>
      </c>
      <c r="B27" s="136"/>
      <c r="C27" s="136"/>
      <c r="D27" s="20"/>
      <c r="E27" s="25">
        <f>89*1.5*101.01</f>
        <v>13484.835000000001</v>
      </c>
    </row>
    <row r="28" spans="1:5" ht="12.75">
      <c r="A28" s="135" t="s">
        <v>712</v>
      </c>
      <c r="B28" s="136"/>
      <c r="C28" s="136"/>
      <c r="D28" s="20"/>
      <c r="E28" s="25">
        <f>1.5*89*38.06</f>
        <v>5081.01</v>
      </c>
    </row>
    <row r="29" spans="1:5" ht="12.75">
      <c r="A29" s="135" t="s">
        <v>713</v>
      </c>
      <c r="B29" s="136"/>
      <c r="C29" s="136"/>
      <c r="D29" s="20"/>
      <c r="E29" s="26">
        <f>3400*2.89</f>
        <v>9826</v>
      </c>
    </row>
    <row r="30" spans="1:5" ht="12.75">
      <c r="A30" s="135" t="s">
        <v>448</v>
      </c>
      <c r="B30" s="136"/>
      <c r="C30" s="136"/>
      <c r="D30" s="20"/>
      <c r="E30" s="25">
        <f>0.002*A13*12</f>
        <v>47.872800000000005</v>
      </c>
    </row>
    <row r="31" spans="1:5" ht="12.75">
      <c r="A31" s="135" t="s">
        <v>714</v>
      </c>
      <c r="B31" s="136"/>
      <c r="C31" s="136"/>
      <c r="D31" s="20"/>
      <c r="E31" s="25">
        <f>1.61*845</f>
        <v>1360.45</v>
      </c>
    </row>
    <row r="32" spans="1:5" ht="12.75">
      <c r="A32" s="135" t="s">
        <v>715</v>
      </c>
      <c r="B32" s="136"/>
      <c r="C32" s="136"/>
      <c r="D32" s="20"/>
      <c r="E32" s="25">
        <f>0.32*A13*12</f>
        <v>7659.647999999999</v>
      </c>
    </row>
    <row r="33" spans="1:5" ht="12.75">
      <c r="A33" s="135" t="s">
        <v>450</v>
      </c>
      <c r="B33" s="136"/>
      <c r="C33" s="136"/>
      <c r="D33" s="20"/>
      <c r="E33" s="25">
        <f>27*5.44+27*16.17*4</f>
        <v>1893.2400000000002</v>
      </c>
    </row>
    <row r="34" spans="1:5" ht="12.75">
      <c r="A34" s="27" t="s">
        <v>308</v>
      </c>
      <c r="B34" s="28" t="s">
        <v>716</v>
      </c>
      <c r="C34" s="28"/>
      <c r="D34" s="20"/>
      <c r="E34" s="5">
        <f>27*147</f>
        <v>3969</v>
      </c>
    </row>
    <row r="35" spans="1:5" ht="12.75">
      <c r="A35" s="140" t="s">
        <v>311</v>
      </c>
      <c r="B35" s="141"/>
      <c r="C35" s="141"/>
      <c r="D35" s="29"/>
      <c r="E35" s="8">
        <v>93580</v>
      </c>
    </row>
    <row r="36" spans="1:5" ht="12.75">
      <c r="A36" s="52" t="s">
        <v>324</v>
      </c>
      <c r="B36" s="53"/>
      <c r="C36" s="53" t="s">
        <v>717</v>
      </c>
      <c r="D36" s="29"/>
      <c r="E36" s="18">
        <f>0.78*A13*12</f>
        <v>18670.392</v>
      </c>
    </row>
    <row r="37" spans="1:5" ht="12.75">
      <c r="A37" s="142" t="s">
        <v>718</v>
      </c>
      <c r="B37" s="143"/>
      <c r="C37" s="143"/>
      <c r="D37" s="29"/>
      <c r="E37" s="18">
        <f>2.04*A13*12</f>
        <v>48830.256</v>
      </c>
    </row>
    <row r="38" spans="1:5" ht="12.75">
      <c r="A38" s="35" t="s">
        <v>284</v>
      </c>
      <c r="B38" s="36"/>
      <c r="C38" s="36" t="s">
        <v>449</v>
      </c>
      <c r="D38" s="37"/>
      <c r="E38" s="8">
        <f>0.003*A13*12</f>
        <v>71.8092</v>
      </c>
    </row>
    <row r="39" spans="1:5" ht="12.75">
      <c r="A39" s="144" t="s">
        <v>367</v>
      </c>
      <c r="B39" s="145"/>
      <c r="C39" s="145"/>
      <c r="D39" s="29"/>
      <c r="E39" s="8">
        <f>E38+E37+E36+E35+E26+E20</f>
        <v>251958.8712</v>
      </c>
    </row>
    <row r="40" spans="1:5" ht="12.75">
      <c r="A40" s="146" t="s">
        <v>398</v>
      </c>
      <c r="B40" s="147"/>
      <c r="C40" s="147"/>
      <c r="D40" s="29"/>
      <c r="E40" s="19">
        <f>E39*0.06</f>
        <v>15117.532271999999</v>
      </c>
    </row>
    <row r="41" spans="1:5" ht="12.75">
      <c r="A41" s="177" t="s">
        <v>83</v>
      </c>
      <c r="B41" s="178"/>
      <c r="C41" s="117"/>
      <c r="D41" s="29"/>
      <c r="E41" s="19">
        <f>A13*11.27*12*0.01</f>
        <v>2697.6322800000003</v>
      </c>
    </row>
    <row r="42" spans="1:5" ht="12.75">
      <c r="A42" s="144" t="s">
        <v>316</v>
      </c>
      <c r="B42" s="145"/>
      <c r="C42" s="145"/>
      <c r="D42" s="29"/>
      <c r="E42" s="8">
        <f>SUM(E39:E41)</f>
        <v>269774.035752</v>
      </c>
    </row>
    <row r="43" spans="1:5" ht="12.75">
      <c r="A43" s="7" t="s">
        <v>307</v>
      </c>
      <c r="B43" s="38"/>
      <c r="C43" s="39"/>
      <c r="D43" s="8" t="s">
        <v>296</v>
      </c>
      <c r="E43" s="103">
        <f>E42/A13/12</f>
        <v>11.270451519526745</v>
      </c>
    </row>
  </sheetData>
  <mergeCells count="24">
    <mergeCell ref="A6:E6"/>
    <mergeCell ref="A11:E11"/>
    <mergeCell ref="A15:A16"/>
    <mergeCell ref="C15:C16"/>
    <mergeCell ref="A19:C19"/>
    <mergeCell ref="A21:C21"/>
    <mergeCell ref="A22:C22"/>
    <mergeCell ref="A23:C23"/>
    <mergeCell ref="A24:C24"/>
    <mergeCell ref="A25:D25"/>
    <mergeCell ref="A26:C26"/>
    <mergeCell ref="A27:C27"/>
    <mergeCell ref="A32:C32"/>
    <mergeCell ref="A33:C33"/>
    <mergeCell ref="A28:C28"/>
    <mergeCell ref="A29:C29"/>
    <mergeCell ref="A30:C30"/>
    <mergeCell ref="A31:C31"/>
    <mergeCell ref="A42:C42"/>
    <mergeCell ref="A35:C35"/>
    <mergeCell ref="A37:C37"/>
    <mergeCell ref="A39:C39"/>
    <mergeCell ref="A40:C40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0" sqref="A40:E40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252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3223.3</v>
      </c>
      <c r="B13" s="48">
        <v>246</v>
      </c>
      <c r="C13" s="48">
        <v>782</v>
      </c>
      <c r="D13" s="48"/>
      <c r="E13" s="6">
        <v>3533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253</v>
      </c>
      <c r="C15" s="134" t="s">
        <v>254</v>
      </c>
      <c r="D15" s="21"/>
      <c r="E15" s="1"/>
    </row>
    <row r="16" spans="1:5" ht="12.75">
      <c r="A16" s="172"/>
      <c r="B16" s="49" t="s">
        <v>255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62992.8252</v>
      </c>
    </row>
    <row r="21" spans="1:5" ht="12.75">
      <c r="A21" s="126" t="s">
        <v>305</v>
      </c>
      <c r="B21" s="120"/>
      <c r="C21" s="120"/>
      <c r="D21" s="45"/>
      <c r="E21" s="20"/>
    </row>
    <row r="22" spans="1:5" ht="12.75">
      <c r="A22" s="121" t="s">
        <v>719</v>
      </c>
      <c r="B22" s="122"/>
      <c r="C22" s="122"/>
      <c r="D22" s="43"/>
      <c r="E22" s="44">
        <f>0.368*5800*1.75*1.263*12</f>
        <v>56610.6912</v>
      </c>
    </row>
    <row r="23" spans="1:5" ht="12.75">
      <c r="A23" s="135" t="s">
        <v>256</v>
      </c>
      <c r="B23" s="136"/>
      <c r="C23" s="136"/>
      <c r="D23" s="20"/>
      <c r="E23" s="25">
        <f>0.025*A13*12</f>
        <v>966.9900000000001</v>
      </c>
    </row>
    <row r="24" spans="1:5" ht="12.75">
      <c r="A24" s="135" t="s">
        <v>720</v>
      </c>
      <c r="B24" s="136"/>
      <c r="C24" s="136"/>
      <c r="D24" s="20"/>
      <c r="E24" s="25">
        <f>0.01*A13*12</f>
        <v>386.79600000000005</v>
      </c>
    </row>
    <row r="25" spans="1:5" ht="12.75">
      <c r="A25" s="135" t="s">
        <v>721</v>
      </c>
      <c r="B25" s="136"/>
      <c r="C25" s="136"/>
      <c r="D25" s="137"/>
      <c r="E25" s="26">
        <f>0.13*A13*12</f>
        <v>5028.348000000001</v>
      </c>
    </row>
    <row r="26" spans="1:5" ht="12.75">
      <c r="A26" s="138" t="s">
        <v>295</v>
      </c>
      <c r="B26" s="139"/>
      <c r="C26" s="139"/>
      <c r="D26" s="20"/>
      <c r="E26" s="18">
        <f>E27+E28+E29+E30+E31+E33+E32</f>
        <v>73163.76120000001</v>
      </c>
    </row>
    <row r="27" spans="1:5" ht="12.75">
      <c r="A27" s="135" t="s">
        <v>180</v>
      </c>
      <c r="B27" s="136"/>
      <c r="C27" s="136"/>
      <c r="D27" s="20"/>
      <c r="E27" s="25">
        <f>146*1.5*101.01</f>
        <v>22121.190000000002</v>
      </c>
    </row>
    <row r="28" spans="1:5" ht="12.75">
      <c r="A28" s="135" t="s">
        <v>181</v>
      </c>
      <c r="B28" s="136"/>
      <c r="C28" s="136"/>
      <c r="D28" s="20"/>
      <c r="E28" s="25">
        <f>1.5*146*38.06</f>
        <v>8335.140000000001</v>
      </c>
    </row>
    <row r="29" spans="1:5" ht="12.75">
      <c r="A29" s="135" t="s">
        <v>722</v>
      </c>
      <c r="B29" s="136"/>
      <c r="C29" s="136"/>
      <c r="D29" s="20"/>
      <c r="E29" s="26">
        <f>8300*2.89</f>
        <v>23987</v>
      </c>
    </row>
    <row r="30" spans="1:5" ht="12.75">
      <c r="A30" s="135" t="s">
        <v>257</v>
      </c>
      <c r="B30" s="136"/>
      <c r="C30" s="136"/>
      <c r="D30" s="20"/>
      <c r="E30" s="25">
        <f>0.002*A13*12</f>
        <v>77.3592</v>
      </c>
    </row>
    <row r="31" spans="1:5" ht="12.75">
      <c r="A31" s="135" t="s">
        <v>723</v>
      </c>
      <c r="B31" s="136"/>
      <c r="C31" s="136"/>
      <c r="D31" s="20"/>
      <c r="E31" s="25">
        <f>0.32*A13*12</f>
        <v>12377.472000000002</v>
      </c>
    </row>
    <row r="32" spans="1:5" ht="12.75" customHeight="1">
      <c r="A32" s="135" t="s">
        <v>724</v>
      </c>
      <c r="B32" s="136"/>
      <c r="C32" s="136"/>
      <c r="D32" s="20"/>
      <c r="E32" s="25">
        <f>80*6.08+80*18.06*4</f>
        <v>6265.599999999999</v>
      </c>
    </row>
    <row r="33" spans="1:5" ht="12.75">
      <c r="A33" s="27" t="s">
        <v>308</v>
      </c>
      <c r="B33" s="28" t="s">
        <v>327</v>
      </c>
      <c r="C33" s="28"/>
      <c r="D33" s="20"/>
      <c r="E33" s="5"/>
    </row>
    <row r="34" spans="1:5" ht="12.75">
      <c r="A34" s="140" t="s">
        <v>311</v>
      </c>
      <c r="B34" s="141"/>
      <c r="C34" s="141"/>
      <c r="D34" s="29"/>
      <c r="E34" s="8">
        <v>161800</v>
      </c>
    </row>
    <row r="35" spans="1:5" ht="12.75">
      <c r="A35" s="52" t="s">
        <v>324</v>
      </c>
      <c r="B35" s="53"/>
      <c r="C35" s="53" t="s">
        <v>725</v>
      </c>
      <c r="D35" s="29"/>
      <c r="E35" s="18">
        <f>0.78*A13*12</f>
        <v>30170.088000000003</v>
      </c>
    </row>
    <row r="36" spans="1:5" ht="12.75">
      <c r="A36" s="142" t="s">
        <v>726</v>
      </c>
      <c r="B36" s="143"/>
      <c r="C36" s="143"/>
      <c r="D36" s="29"/>
      <c r="E36" s="18">
        <f>2.04*A13*12</f>
        <v>78906.384</v>
      </c>
    </row>
    <row r="37" spans="1:5" ht="12.75">
      <c r="A37" s="35" t="s">
        <v>284</v>
      </c>
      <c r="B37" s="36"/>
      <c r="C37" s="36" t="s">
        <v>258</v>
      </c>
      <c r="D37" s="37"/>
      <c r="E37" s="8">
        <f>0.003*A13*12</f>
        <v>116.03880000000001</v>
      </c>
    </row>
    <row r="38" spans="1:5" ht="12.75">
      <c r="A38" s="144" t="s">
        <v>367</v>
      </c>
      <c r="B38" s="145"/>
      <c r="C38" s="145"/>
      <c r="D38" s="29"/>
      <c r="E38" s="8">
        <f>E37+E36+E35+E34+E26+E20</f>
        <v>407149.0972</v>
      </c>
    </row>
    <row r="39" spans="1:5" ht="12.75" customHeight="1">
      <c r="A39" s="146" t="s">
        <v>398</v>
      </c>
      <c r="B39" s="147"/>
      <c r="C39" s="147"/>
      <c r="D39" s="29"/>
      <c r="E39" s="19">
        <f>E38*0.06</f>
        <v>24428.945832</v>
      </c>
    </row>
    <row r="40" spans="1:5" ht="12.75" customHeight="1">
      <c r="A40" s="177" t="s">
        <v>83</v>
      </c>
      <c r="B40" s="178"/>
      <c r="C40" s="117"/>
      <c r="D40" s="29"/>
      <c r="E40" s="19">
        <f>A13*11.27*12*0.01</f>
        <v>4359.19092</v>
      </c>
    </row>
    <row r="41" spans="1:5" ht="12.75">
      <c r="A41" s="144" t="s">
        <v>316</v>
      </c>
      <c r="B41" s="145"/>
      <c r="C41" s="145"/>
      <c r="D41" s="29"/>
      <c r="E41" s="8">
        <f>SUM(E38:E40)</f>
        <v>435937.23395200004</v>
      </c>
    </row>
    <row r="42" spans="1:5" ht="12.75">
      <c r="A42" s="7" t="s">
        <v>307</v>
      </c>
      <c r="B42" s="38"/>
      <c r="C42" s="39"/>
      <c r="D42" s="8" t="s">
        <v>296</v>
      </c>
      <c r="E42" s="103">
        <f>E41/A13/12</f>
        <v>11.270469031530832</v>
      </c>
    </row>
    <row r="43" spans="1:5" ht="12.75">
      <c r="A43" s="10"/>
      <c r="B43" s="11"/>
      <c r="C43" s="12"/>
      <c r="D43" s="12"/>
      <c r="E43" s="1"/>
    </row>
  </sheetData>
  <mergeCells count="23">
    <mergeCell ref="A36:C36"/>
    <mergeCell ref="A38:C38"/>
    <mergeCell ref="A39:C39"/>
    <mergeCell ref="A41:C41"/>
    <mergeCell ref="A40:B40"/>
    <mergeCell ref="A32:C32"/>
    <mergeCell ref="A34:C34"/>
    <mergeCell ref="A28:C28"/>
    <mergeCell ref="A29:C29"/>
    <mergeCell ref="A30:C30"/>
    <mergeCell ref="A31:C31"/>
    <mergeCell ref="A24:C24"/>
    <mergeCell ref="A25:D25"/>
    <mergeCell ref="A26:C26"/>
    <mergeCell ref="A27:C27"/>
    <mergeCell ref="A19:C19"/>
    <mergeCell ref="A21:C21"/>
    <mergeCell ref="A22:C22"/>
    <mergeCell ref="A23:C23"/>
    <mergeCell ref="A6:E6"/>
    <mergeCell ref="A11:E11"/>
    <mergeCell ref="A15:A16"/>
    <mergeCell ref="C15:C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38" sqref="A38:E38"/>
    </sheetView>
  </sheetViews>
  <sheetFormatPr defaultColWidth="9.00390625" defaultRowHeight="12.75"/>
  <cols>
    <col min="1" max="1" width="16.875" style="0" customWidth="1"/>
    <col min="2" max="2" width="18.00390625" style="0" customWidth="1"/>
    <col min="3" max="3" width="17.00390625" style="0" customWidth="1"/>
    <col min="4" max="4" width="15.75390625" style="0" customWidth="1"/>
    <col min="5" max="5" width="11.875" style="0" customWidth="1"/>
  </cols>
  <sheetData>
    <row r="1" spans="3:4" ht="15">
      <c r="C1" s="54" t="s">
        <v>310</v>
      </c>
      <c r="D1" s="54"/>
    </row>
    <row r="2" spans="3:4" ht="15">
      <c r="C2" s="54" t="s">
        <v>341</v>
      </c>
      <c r="D2" s="54"/>
    </row>
    <row r="3" spans="3:4" ht="15">
      <c r="C3" s="54" t="s">
        <v>278</v>
      </c>
      <c r="D3" s="54"/>
    </row>
    <row r="6" spans="1:5" ht="15.75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476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29" t="s">
        <v>299</v>
      </c>
      <c r="B10" s="130"/>
      <c r="C10" s="130"/>
      <c r="D10" s="130"/>
      <c r="E10" s="131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4.25">
      <c r="A12" s="50">
        <v>3397.2</v>
      </c>
      <c r="B12" s="48">
        <v>270</v>
      </c>
      <c r="C12" s="48">
        <v>890</v>
      </c>
      <c r="D12" s="48">
        <v>0</v>
      </c>
      <c r="E12" s="6">
        <v>2548.5</v>
      </c>
    </row>
    <row r="13" spans="1:5" ht="14.25">
      <c r="A13" s="3"/>
      <c r="B13" s="1"/>
      <c r="C13" s="1"/>
      <c r="D13" s="1"/>
      <c r="E13" s="1"/>
    </row>
    <row r="14" spans="1:5" ht="12.75">
      <c r="A14" s="132" t="s">
        <v>304</v>
      </c>
      <c r="B14" s="49" t="s">
        <v>477</v>
      </c>
      <c r="C14" s="134" t="s">
        <v>478</v>
      </c>
      <c r="D14" s="21"/>
      <c r="E14" s="1"/>
    </row>
    <row r="15" spans="1:5" ht="12.75">
      <c r="A15" s="172"/>
      <c r="B15" s="49" t="s">
        <v>479</v>
      </c>
      <c r="C15" s="172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24" t="s">
        <v>293</v>
      </c>
      <c r="B17" s="125"/>
      <c r="C17" s="125"/>
      <c r="D17" s="46"/>
      <c r="E17" s="47" t="s">
        <v>297</v>
      </c>
    </row>
    <row r="18" spans="1:5" ht="12.75">
      <c r="A18" s="40" t="s">
        <v>294</v>
      </c>
      <c r="B18" s="41"/>
      <c r="C18" s="41"/>
      <c r="D18" s="42"/>
      <c r="E18" s="23">
        <f>E20+E21+E22+E23</f>
        <v>61673.48099999999</v>
      </c>
    </row>
    <row r="19" spans="1:5" ht="12.75">
      <c r="A19" s="126" t="s">
        <v>305</v>
      </c>
      <c r="B19" s="120"/>
      <c r="C19" s="120"/>
      <c r="D19" s="45"/>
      <c r="E19" s="20"/>
    </row>
    <row r="20" spans="1:5" ht="12.75">
      <c r="A20" s="121" t="s">
        <v>584</v>
      </c>
      <c r="B20" s="122"/>
      <c r="C20" s="122"/>
      <c r="D20" s="43"/>
      <c r="E20" s="44">
        <f>0.375*5800*1.75*1.203*12</f>
        <v>54947.024999999994</v>
      </c>
    </row>
    <row r="21" spans="1:5" ht="12.75">
      <c r="A21" s="135" t="s">
        <v>585</v>
      </c>
      <c r="B21" s="136"/>
      <c r="C21" s="136"/>
      <c r="D21" s="20"/>
      <c r="E21" s="25">
        <f>0.025*A12*12</f>
        <v>1019.1600000000001</v>
      </c>
    </row>
    <row r="22" spans="1:5" ht="12.75">
      <c r="A22" s="135" t="s">
        <v>586</v>
      </c>
      <c r="B22" s="136"/>
      <c r="C22" s="136"/>
      <c r="D22" s="20"/>
      <c r="E22" s="25">
        <f>0.01*A12*12</f>
        <v>407.664</v>
      </c>
    </row>
    <row r="23" spans="1:5" ht="12.75">
      <c r="A23" s="135" t="s">
        <v>587</v>
      </c>
      <c r="B23" s="136"/>
      <c r="C23" s="136"/>
      <c r="D23" s="137"/>
      <c r="E23" s="26">
        <f>0.13*A12*12</f>
        <v>5299.632</v>
      </c>
    </row>
    <row r="24" spans="1:5" ht="12.75">
      <c r="A24" s="138" t="s">
        <v>295</v>
      </c>
      <c r="B24" s="139"/>
      <c r="C24" s="139"/>
      <c r="D24" s="20"/>
      <c r="E24" s="18">
        <f>E25+E26+E27+E28+E29+E30+E31</f>
        <v>67177.8458</v>
      </c>
    </row>
    <row r="25" spans="1:5" ht="12.75">
      <c r="A25" s="135" t="s">
        <v>588</v>
      </c>
      <c r="B25" s="136"/>
      <c r="C25" s="136"/>
      <c r="D25" s="20"/>
      <c r="E25" s="25">
        <f>167*1.5*101.01</f>
        <v>25303.005</v>
      </c>
    </row>
    <row r="26" spans="1:5" ht="12.75">
      <c r="A26" s="135" t="s">
        <v>589</v>
      </c>
      <c r="B26" s="136"/>
      <c r="C26" s="136"/>
      <c r="D26" s="20"/>
      <c r="E26" s="25">
        <f>174*1.5*38.06</f>
        <v>9933.66</v>
      </c>
    </row>
    <row r="27" spans="1:5" ht="12.75">
      <c r="A27" s="135" t="s">
        <v>590</v>
      </c>
      <c r="B27" s="136"/>
      <c r="C27" s="136"/>
      <c r="D27" s="20"/>
      <c r="E27" s="26">
        <f>6600*2.02</f>
        <v>13332</v>
      </c>
    </row>
    <row r="28" spans="1:5" ht="12.75">
      <c r="A28" s="135" t="s">
        <v>480</v>
      </c>
      <c r="B28" s="136"/>
      <c r="C28" s="136"/>
      <c r="D28" s="20"/>
      <c r="E28" s="25">
        <f>0.002*A12*12</f>
        <v>81.5328</v>
      </c>
    </row>
    <row r="29" spans="1:5" ht="12.75">
      <c r="A29" s="135" t="s">
        <v>591</v>
      </c>
      <c r="B29" s="136"/>
      <c r="C29" s="136"/>
      <c r="D29" s="20"/>
      <c r="E29" s="25">
        <f>0.32*A12*12</f>
        <v>13045.248</v>
      </c>
    </row>
    <row r="30" spans="1:5" ht="12.75">
      <c r="A30" s="135" t="s">
        <v>592</v>
      </c>
      <c r="B30" s="136"/>
      <c r="C30" s="136"/>
      <c r="D30" s="20"/>
      <c r="E30" s="26">
        <f>70*6.08+(70*18.06*4)</f>
        <v>5482.4</v>
      </c>
    </row>
    <row r="31" spans="1:5" ht="14.25" customHeight="1">
      <c r="A31" s="27" t="s">
        <v>308</v>
      </c>
      <c r="B31" s="28" t="s">
        <v>327</v>
      </c>
      <c r="C31" s="28"/>
      <c r="D31" s="20"/>
      <c r="E31" s="5"/>
    </row>
    <row r="32" spans="1:5" ht="12.75">
      <c r="A32" s="140" t="s">
        <v>311</v>
      </c>
      <c r="B32" s="141"/>
      <c r="C32" s="141"/>
      <c r="D32" s="29"/>
      <c r="E32" s="8">
        <v>185160</v>
      </c>
    </row>
    <row r="33" spans="1:5" ht="12.75">
      <c r="A33" s="52" t="s">
        <v>324</v>
      </c>
      <c r="B33" s="53"/>
      <c r="C33" s="53" t="s">
        <v>593</v>
      </c>
      <c r="D33" s="29"/>
      <c r="E33" s="18">
        <f>0.78*A12*12</f>
        <v>31797.791999999998</v>
      </c>
    </row>
    <row r="34" spans="1:5" ht="17.25" customHeight="1">
      <c r="A34" s="168" t="s">
        <v>357</v>
      </c>
      <c r="B34" s="169"/>
      <c r="C34" s="97" t="s">
        <v>594</v>
      </c>
      <c r="D34" s="29"/>
      <c r="E34" s="18">
        <f>2.04*A12*12</f>
        <v>83163.45599999999</v>
      </c>
    </row>
    <row r="35" spans="1:5" ht="12.75">
      <c r="A35" s="35" t="s">
        <v>314</v>
      </c>
      <c r="B35" s="36"/>
      <c r="C35" s="36" t="s">
        <v>481</v>
      </c>
      <c r="D35" s="37"/>
      <c r="E35" s="8">
        <f>0.003*A12*12</f>
        <v>122.29919999999998</v>
      </c>
    </row>
    <row r="36" spans="1:5" ht="12.75">
      <c r="A36" s="144" t="s">
        <v>315</v>
      </c>
      <c r="B36" s="145"/>
      <c r="C36" s="145"/>
      <c r="D36" s="29"/>
      <c r="E36" s="8">
        <f>E35+E34+E33+E32+E24+E18</f>
        <v>429094.87399999995</v>
      </c>
    </row>
    <row r="37" spans="1:5" ht="12.75">
      <c r="A37" s="146" t="s">
        <v>385</v>
      </c>
      <c r="B37" s="147"/>
      <c r="C37" s="147"/>
      <c r="D37" s="29"/>
      <c r="E37" s="19">
        <f>E36*0.06</f>
        <v>25745.692439999995</v>
      </c>
    </row>
    <row r="38" spans="1:5" ht="12.75">
      <c r="A38" s="148" t="s">
        <v>561</v>
      </c>
      <c r="B38" s="149"/>
      <c r="C38" s="117"/>
      <c r="D38" s="91"/>
      <c r="E38" s="19">
        <f>A12*11.27*12*0.01</f>
        <v>4594.37328</v>
      </c>
    </row>
    <row r="39" spans="1:5" ht="12.75">
      <c r="A39" s="144" t="s">
        <v>316</v>
      </c>
      <c r="B39" s="145"/>
      <c r="C39" s="145"/>
      <c r="D39" s="29"/>
      <c r="E39" s="8">
        <f>SUM(E36:E38)</f>
        <v>459434.93971999997</v>
      </c>
    </row>
    <row r="40" spans="1:5" ht="12.75">
      <c r="A40" s="7" t="s">
        <v>307</v>
      </c>
      <c r="B40" s="38"/>
      <c r="C40" s="39"/>
      <c r="D40" s="8" t="s">
        <v>296</v>
      </c>
      <c r="E40" s="103">
        <f>E39/A12/12</f>
        <v>11.269941415479414</v>
      </c>
    </row>
    <row r="41" spans="1:5" ht="12.75">
      <c r="A41" s="10"/>
      <c r="B41" s="11"/>
      <c r="C41" s="12"/>
      <c r="D41" s="12"/>
      <c r="E41" s="1"/>
    </row>
  </sheetData>
  <mergeCells count="23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4:B34"/>
    <mergeCell ref="A36:C36"/>
    <mergeCell ref="A37:C37"/>
    <mergeCell ref="A39:C39"/>
    <mergeCell ref="A38:B38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41" sqref="A41:E41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263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2362.5</v>
      </c>
      <c r="B13" s="48">
        <v>244</v>
      </c>
      <c r="C13" s="48">
        <v>955.2</v>
      </c>
      <c r="D13" s="48"/>
      <c r="E13" s="6">
        <v>2598.2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264</v>
      </c>
      <c r="C15" s="134" t="s">
        <v>265</v>
      </c>
      <c r="D15" s="21"/>
      <c r="E15" s="1"/>
    </row>
    <row r="16" spans="1:5" ht="12.75">
      <c r="A16" s="172"/>
      <c r="B16" s="49" t="s">
        <v>266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62848.33379999999</v>
      </c>
    </row>
    <row r="21" spans="1:5" ht="12.75">
      <c r="A21" s="126" t="s">
        <v>305</v>
      </c>
      <c r="B21" s="120"/>
      <c r="C21" s="120"/>
      <c r="D21" s="45"/>
      <c r="E21" s="20"/>
    </row>
    <row r="22" spans="1:5" ht="12.75">
      <c r="A22" s="121" t="s">
        <v>727</v>
      </c>
      <c r="B22" s="122"/>
      <c r="C22" s="122"/>
      <c r="D22" s="43"/>
      <c r="E22" s="44">
        <f>0.397*5800*1.75*1.203*12</f>
        <v>58170.58379999999</v>
      </c>
    </row>
    <row r="23" spans="1:5" ht="12.75">
      <c r="A23" s="135" t="s">
        <v>728</v>
      </c>
      <c r="B23" s="136"/>
      <c r="C23" s="136"/>
      <c r="D23" s="20"/>
      <c r="E23" s="25">
        <f>0.025*A13*12</f>
        <v>708.75</v>
      </c>
    </row>
    <row r="24" spans="1:5" ht="12.75">
      <c r="A24" s="135" t="s">
        <v>729</v>
      </c>
      <c r="B24" s="136"/>
      <c r="C24" s="136"/>
      <c r="D24" s="20"/>
      <c r="E24" s="25">
        <f>0.01*A13*12</f>
        <v>283.5</v>
      </c>
    </row>
    <row r="25" spans="1:5" ht="12.75">
      <c r="A25" s="135" t="s">
        <v>730</v>
      </c>
      <c r="B25" s="136"/>
      <c r="C25" s="136"/>
      <c r="D25" s="137"/>
      <c r="E25" s="26">
        <f>0.13*A13*12</f>
        <v>3685.5</v>
      </c>
    </row>
    <row r="26" spans="1:5" ht="12.75">
      <c r="A26" s="138" t="s">
        <v>295</v>
      </c>
      <c r="B26" s="139"/>
      <c r="C26" s="139"/>
      <c r="D26" s="20"/>
      <c r="E26" s="18">
        <f>E27+E28+E29+E30+E32+E34+E33+E31</f>
        <v>52408.255</v>
      </c>
    </row>
    <row r="27" spans="1:5" ht="12.75">
      <c r="A27" s="135" t="s">
        <v>731</v>
      </c>
      <c r="B27" s="136"/>
      <c r="C27" s="136"/>
      <c r="D27" s="20"/>
      <c r="E27" s="25">
        <f>103*1.5*101.01</f>
        <v>15606.045</v>
      </c>
    </row>
    <row r="28" spans="1:5" ht="12.75">
      <c r="A28" s="135" t="s">
        <v>732</v>
      </c>
      <c r="B28" s="136"/>
      <c r="C28" s="136"/>
      <c r="D28" s="20"/>
      <c r="E28" s="25">
        <f>1.5*97*35.02</f>
        <v>5095.410000000001</v>
      </c>
    </row>
    <row r="29" spans="1:5" ht="12.75">
      <c r="A29" s="135" t="s">
        <v>733</v>
      </c>
      <c r="B29" s="136"/>
      <c r="C29" s="136"/>
      <c r="D29" s="20"/>
      <c r="E29" s="26">
        <f>7300*2.89</f>
        <v>21097</v>
      </c>
    </row>
    <row r="30" spans="1:5" ht="12.75">
      <c r="A30" s="135" t="s">
        <v>267</v>
      </c>
      <c r="B30" s="136"/>
      <c r="C30" s="136"/>
      <c r="D30" s="20"/>
      <c r="E30" s="25">
        <f>0.002*A13*12</f>
        <v>56.7</v>
      </c>
    </row>
    <row r="31" spans="1:5" ht="12.75">
      <c r="A31" s="135" t="s">
        <v>734</v>
      </c>
      <c r="B31" s="136"/>
      <c r="C31" s="136"/>
      <c r="D31" s="20"/>
      <c r="E31" s="25">
        <f>1.61*750</f>
        <v>1207.5</v>
      </c>
    </row>
    <row r="32" spans="1:5" ht="12.75">
      <c r="A32" s="135" t="s">
        <v>735</v>
      </c>
      <c r="B32" s="136"/>
      <c r="C32" s="136"/>
      <c r="D32" s="20"/>
      <c r="E32" s="25">
        <f>0.32*A13*12</f>
        <v>9072</v>
      </c>
    </row>
    <row r="33" spans="1:5" ht="12.75" customHeight="1">
      <c r="A33" s="135" t="s">
        <v>736</v>
      </c>
      <c r="B33" s="136"/>
      <c r="C33" s="136"/>
      <c r="D33" s="20"/>
      <c r="E33" s="25">
        <f>45*6.08</f>
        <v>273.6</v>
      </c>
    </row>
    <row r="34" spans="1:5" ht="12.75">
      <c r="A34" s="27" t="s">
        <v>308</v>
      </c>
      <c r="B34" s="28" t="s">
        <v>327</v>
      </c>
      <c r="C34" s="28"/>
      <c r="D34" s="20"/>
      <c r="E34" s="5"/>
    </row>
    <row r="35" spans="1:5" ht="12.75">
      <c r="A35" s="140" t="s">
        <v>311</v>
      </c>
      <c r="B35" s="141"/>
      <c r="C35" s="141"/>
      <c r="D35" s="29"/>
      <c r="E35" s="8">
        <v>106131</v>
      </c>
    </row>
    <row r="36" spans="1:5" ht="12.75">
      <c r="A36" s="52" t="s">
        <v>324</v>
      </c>
      <c r="B36" s="53"/>
      <c r="C36" s="53" t="s">
        <v>737</v>
      </c>
      <c r="D36" s="29"/>
      <c r="E36" s="18">
        <f>0.78*A13*12</f>
        <v>22113</v>
      </c>
    </row>
    <row r="37" spans="1:5" ht="12.75">
      <c r="A37" s="142" t="s">
        <v>738</v>
      </c>
      <c r="B37" s="143"/>
      <c r="C37" s="143"/>
      <c r="D37" s="29"/>
      <c r="E37" s="18">
        <f>2.04*A13*12</f>
        <v>57834</v>
      </c>
    </row>
    <row r="38" spans="1:5" ht="12.75">
      <c r="A38" s="35" t="s">
        <v>284</v>
      </c>
      <c r="B38" s="36"/>
      <c r="C38" s="36" t="s">
        <v>268</v>
      </c>
      <c r="D38" s="37"/>
      <c r="E38" s="8">
        <f>0.003*A13*12</f>
        <v>85.05000000000001</v>
      </c>
    </row>
    <row r="39" spans="1:5" ht="12.75">
      <c r="A39" s="144" t="s">
        <v>367</v>
      </c>
      <c r="B39" s="145"/>
      <c r="C39" s="145"/>
      <c r="D39" s="29"/>
      <c r="E39" s="8">
        <f>E38+E37+E36+E35+E26+E20</f>
        <v>301419.63879999996</v>
      </c>
    </row>
    <row r="40" spans="1:5" ht="12.75" customHeight="1">
      <c r="A40" s="146" t="s">
        <v>398</v>
      </c>
      <c r="B40" s="147"/>
      <c r="C40" s="147"/>
      <c r="D40" s="29"/>
      <c r="E40" s="19">
        <f>E39*0.06</f>
        <v>18085.178327999998</v>
      </c>
    </row>
    <row r="41" spans="1:5" ht="12.75" customHeight="1">
      <c r="A41" s="177" t="s">
        <v>83</v>
      </c>
      <c r="B41" s="178"/>
      <c r="C41" s="117"/>
      <c r="D41" s="29"/>
      <c r="E41" s="19">
        <f>A13*11.27*12*0.01</f>
        <v>3195.045</v>
      </c>
    </row>
    <row r="42" spans="1:5" ht="12.75">
      <c r="A42" s="144" t="s">
        <v>316</v>
      </c>
      <c r="B42" s="145"/>
      <c r="C42" s="145"/>
      <c r="D42" s="29"/>
      <c r="E42" s="8">
        <f>SUM(E39:E40)</f>
        <v>319504.81712799997</v>
      </c>
    </row>
    <row r="43" spans="1:5" ht="12.75">
      <c r="A43" s="7" t="s">
        <v>307</v>
      </c>
      <c r="B43" s="38"/>
      <c r="C43" s="39"/>
      <c r="D43" s="8" t="s">
        <v>296</v>
      </c>
      <c r="E43" s="103">
        <f>E42/A13/12</f>
        <v>11.270011186172837</v>
      </c>
    </row>
    <row r="44" spans="1:5" ht="12.75">
      <c r="A44" s="10"/>
      <c r="B44" s="11"/>
      <c r="C44" s="12"/>
      <c r="D44" s="12"/>
      <c r="E44" s="1"/>
    </row>
  </sheetData>
  <mergeCells count="24">
    <mergeCell ref="A42:C42"/>
    <mergeCell ref="A35:C35"/>
    <mergeCell ref="A37:C37"/>
    <mergeCell ref="A39:C39"/>
    <mergeCell ref="A40:C40"/>
    <mergeCell ref="A41:B41"/>
    <mergeCell ref="A32:C32"/>
    <mergeCell ref="A33:C33"/>
    <mergeCell ref="A28:C28"/>
    <mergeCell ref="A29:C29"/>
    <mergeCell ref="A30:C30"/>
    <mergeCell ref="A31:C31"/>
    <mergeCell ref="A24:C24"/>
    <mergeCell ref="A25:D25"/>
    <mergeCell ref="A26:C26"/>
    <mergeCell ref="A27:C27"/>
    <mergeCell ref="A19:C19"/>
    <mergeCell ref="A21:C21"/>
    <mergeCell ref="A22:C22"/>
    <mergeCell ref="A23:C23"/>
    <mergeCell ref="A6:E6"/>
    <mergeCell ref="A11:E11"/>
    <mergeCell ref="A15:A16"/>
    <mergeCell ref="C15:C16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4">
      <selection activeCell="H40" sqref="H40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259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3286.1</v>
      </c>
      <c r="B13" s="48">
        <v>248.5</v>
      </c>
      <c r="C13" s="48">
        <v>531</v>
      </c>
      <c r="D13" s="48"/>
      <c r="E13" s="6">
        <v>516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260</v>
      </c>
      <c r="C15" s="134" t="s">
        <v>261</v>
      </c>
      <c r="D15" s="21"/>
      <c r="E15" s="1"/>
    </row>
    <row r="16" spans="1:5" ht="12.75">
      <c r="A16" s="172"/>
      <c r="B16" s="49" t="s">
        <v>262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32753.036880000003</v>
      </c>
    </row>
    <row r="21" spans="1:5" ht="12.75">
      <c r="A21" s="126" t="s">
        <v>305</v>
      </c>
      <c r="B21" s="120"/>
      <c r="C21" s="120"/>
      <c r="D21" s="45"/>
      <c r="E21" s="20"/>
    </row>
    <row r="22" spans="1:5" ht="12.75">
      <c r="A22" s="121" t="s">
        <v>739</v>
      </c>
      <c r="B22" s="122"/>
      <c r="C22" s="122"/>
      <c r="D22" s="43"/>
      <c r="E22" s="44">
        <f>0.1872*5800*1.75*1.203*12</f>
        <v>27429.554880000003</v>
      </c>
    </row>
    <row r="23" spans="1:5" ht="12.75">
      <c r="A23" s="135" t="s">
        <v>740</v>
      </c>
      <c r="B23" s="136"/>
      <c r="C23" s="136"/>
      <c r="D23" s="20"/>
      <c r="E23" s="25">
        <f>0.025*A13*12</f>
        <v>985.83</v>
      </c>
    </row>
    <row r="24" spans="1:5" ht="12.75">
      <c r="A24" s="135" t="s">
        <v>741</v>
      </c>
      <c r="B24" s="136"/>
      <c r="C24" s="136"/>
      <c r="D24" s="20"/>
      <c r="E24" s="25">
        <f>0.01*A13*12</f>
        <v>394.332</v>
      </c>
    </row>
    <row r="25" spans="1:5" ht="12.75">
      <c r="A25" s="135" t="s">
        <v>742</v>
      </c>
      <c r="B25" s="136"/>
      <c r="C25" s="136"/>
      <c r="D25" s="137"/>
      <c r="E25" s="26">
        <f>0.1*A13*12</f>
        <v>3943.32</v>
      </c>
    </row>
    <row r="26" spans="1:5" ht="12.75">
      <c r="A26" s="138" t="s">
        <v>295</v>
      </c>
      <c r="B26" s="139"/>
      <c r="C26" s="139"/>
      <c r="D26" s="20"/>
      <c r="E26" s="18">
        <f>E27+E28+E29+E30+E31+E33+E32</f>
        <v>64241.5254</v>
      </c>
    </row>
    <row r="27" spans="1:5" ht="12.75">
      <c r="A27" s="135" t="s">
        <v>743</v>
      </c>
      <c r="B27" s="136"/>
      <c r="C27" s="136"/>
      <c r="D27" s="20"/>
      <c r="E27" s="26">
        <f>127*1.5*101.01</f>
        <v>19242.405000000002</v>
      </c>
    </row>
    <row r="28" spans="1:5" ht="12.75">
      <c r="A28" s="135" t="s">
        <v>744</v>
      </c>
      <c r="B28" s="136"/>
      <c r="C28" s="136"/>
      <c r="D28" s="20"/>
      <c r="E28" s="25">
        <f>1.5*127*38.06</f>
        <v>7250.43</v>
      </c>
    </row>
    <row r="29" spans="1:5" ht="12.75">
      <c r="A29" s="135" t="s">
        <v>745</v>
      </c>
      <c r="B29" s="136"/>
      <c r="C29" s="136"/>
      <c r="D29" s="20"/>
      <c r="E29" s="26">
        <f>8000*2.89</f>
        <v>23120</v>
      </c>
    </row>
    <row r="30" spans="1:5" ht="12.75">
      <c r="A30" s="135" t="s">
        <v>269</v>
      </c>
      <c r="B30" s="136"/>
      <c r="C30" s="136"/>
      <c r="D30" s="20"/>
      <c r="E30" s="25">
        <f>0.002*A13*12</f>
        <v>78.8664</v>
      </c>
    </row>
    <row r="31" spans="1:5" ht="12.75">
      <c r="A31" s="135" t="s">
        <v>746</v>
      </c>
      <c r="B31" s="136"/>
      <c r="C31" s="136"/>
      <c r="D31" s="20"/>
      <c r="E31" s="25">
        <f>0.32*A13*12</f>
        <v>12618.624</v>
      </c>
    </row>
    <row r="32" spans="1:5" ht="12.75" customHeight="1">
      <c r="A32" s="135" t="s">
        <v>184</v>
      </c>
      <c r="B32" s="136"/>
      <c r="C32" s="136"/>
      <c r="D32" s="20"/>
      <c r="E32" s="25">
        <f>80*6.08+80*18.06</f>
        <v>1931.1999999999998</v>
      </c>
    </row>
    <row r="33" spans="1:5" ht="12.75">
      <c r="A33" s="27" t="s">
        <v>308</v>
      </c>
      <c r="B33" s="28" t="s">
        <v>327</v>
      </c>
      <c r="C33" s="28"/>
      <c r="D33" s="20"/>
      <c r="E33" s="5"/>
    </row>
    <row r="34" spans="1:5" ht="12.75">
      <c r="A34" s="140" t="s">
        <v>311</v>
      </c>
      <c r="B34" s="141"/>
      <c r="C34" s="141"/>
      <c r="D34" s="29"/>
      <c r="E34" s="8">
        <v>206760</v>
      </c>
    </row>
    <row r="35" spans="1:5" ht="12.75">
      <c r="A35" s="52" t="s">
        <v>324</v>
      </c>
      <c r="B35" s="53"/>
      <c r="C35" s="53" t="s">
        <v>747</v>
      </c>
      <c r="D35" s="29"/>
      <c r="E35" s="18">
        <f>0.78*A13*12</f>
        <v>30757.896</v>
      </c>
    </row>
    <row r="36" spans="1:5" ht="12.75">
      <c r="A36" s="142" t="s">
        <v>748</v>
      </c>
      <c r="B36" s="143"/>
      <c r="C36" s="143"/>
      <c r="D36" s="29"/>
      <c r="E36" s="18">
        <f>2.04*A13*12</f>
        <v>80443.728</v>
      </c>
    </row>
    <row r="37" spans="1:5" ht="12.75">
      <c r="A37" s="35" t="s">
        <v>284</v>
      </c>
      <c r="B37" s="36"/>
      <c r="C37" s="36" t="s">
        <v>270</v>
      </c>
      <c r="D37" s="37"/>
      <c r="E37" s="8">
        <f>0.003*A13*12</f>
        <v>118.2996</v>
      </c>
    </row>
    <row r="38" spans="1:5" ht="12.75">
      <c r="A38" s="144" t="s">
        <v>367</v>
      </c>
      <c r="B38" s="145"/>
      <c r="C38" s="145"/>
      <c r="D38" s="29"/>
      <c r="E38" s="8">
        <f>E37+E36+E35+E34+E26+E20</f>
        <v>415074.48588</v>
      </c>
    </row>
    <row r="39" spans="1:5" ht="12.75" customHeight="1">
      <c r="A39" s="146" t="s">
        <v>398</v>
      </c>
      <c r="B39" s="147"/>
      <c r="C39" s="147"/>
      <c r="D39" s="29"/>
      <c r="E39" s="19">
        <f>E38*0.06</f>
        <v>24904.4691528</v>
      </c>
    </row>
    <row r="40" spans="1:5" ht="12.75" customHeight="1">
      <c r="A40" s="177" t="s">
        <v>83</v>
      </c>
      <c r="B40" s="178"/>
      <c r="C40" s="117"/>
      <c r="D40" s="29"/>
      <c r="E40" s="19">
        <f>A13*11.27*12*0.01</f>
        <v>4444.121639999999</v>
      </c>
    </row>
    <row r="41" spans="1:5" ht="12.75">
      <c r="A41" s="144" t="s">
        <v>316</v>
      </c>
      <c r="B41" s="145"/>
      <c r="C41" s="145"/>
      <c r="D41" s="29"/>
      <c r="E41" s="8">
        <f>SUM(E38:E40)</f>
        <v>444423.0766728</v>
      </c>
    </row>
    <row r="42" spans="1:5" ht="12.75">
      <c r="A42" s="7" t="s">
        <v>307</v>
      </c>
      <c r="B42" s="38"/>
      <c r="C42" s="39"/>
      <c r="D42" s="8" t="s">
        <v>296</v>
      </c>
      <c r="E42" s="103">
        <f>E41/A13/12</f>
        <v>11.2702767382003</v>
      </c>
    </row>
    <row r="43" spans="1:5" ht="12.75">
      <c r="A43" s="10"/>
      <c r="B43" s="11"/>
      <c r="C43" s="12"/>
      <c r="D43" s="12"/>
      <c r="E43" s="1"/>
    </row>
  </sheetData>
  <mergeCells count="23">
    <mergeCell ref="A36:C36"/>
    <mergeCell ref="A38:C38"/>
    <mergeCell ref="A39:C39"/>
    <mergeCell ref="A41:C41"/>
    <mergeCell ref="A40:B40"/>
    <mergeCell ref="A32:C32"/>
    <mergeCell ref="A34:C34"/>
    <mergeCell ref="A28:C28"/>
    <mergeCell ref="A29:C29"/>
    <mergeCell ref="A30:C30"/>
    <mergeCell ref="A31:C31"/>
    <mergeCell ref="A24:C24"/>
    <mergeCell ref="A25:D25"/>
    <mergeCell ref="A26:C26"/>
    <mergeCell ref="A27:C27"/>
    <mergeCell ref="A19:C19"/>
    <mergeCell ref="A21:C21"/>
    <mergeCell ref="A22:C22"/>
    <mergeCell ref="A23:C23"/>
    <mergeCell ref="A6:E6"/>
    <mergeCell ref="A11:E11"/>
    <mergeCell ref="A15:A16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405</v>
      </c>
      <c r="D3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4.25">
      <c r="A8" s="3" t="s">
        <v>271</v>
      </c>
      <c r="B8" s="1"/>
      <c r="C8" s="1"/>
      <c r="D8" s="1"/>
      <c r="E8" s="1"/>
    </row>
    <row r="9" spans="1:5" ht="14.25">
      <c r="A9" s="3"/>
      <c r="B9" s="1"/>
      <c r="C9" s="1"/>
      <c r="D9" s="51"/>
      <c r="E9" s="1"/>
    </row>
    <row r="10" spans="1:5" ht="14.25">
      <c r="A10" s="3"/>
      <c r="B10" s="1"/>
      <c r="C10" s="1"/>
      <c r="D10" s="1"/>
      <c r="E10" s="1"/>
    </row>
    <row r="11" spans="1:5" ht="12.75">
      <c r="A11" s="129" t="s">
        <v>299</v>
      </c>
      <c r="B11" s="130"/>
      <c r="C11" s="130"/>
      <c r="D11" s="130"/>
      <c r="E11" s="131"/>
    </row>
    <row r="12" spans="1:5" ht="12.75">
      <c r="A12" s="17" t="s">
        <v>300</v>
      </c>
      <c r="B12" s="17" t="s">
        <v>301</v>
      </c>
      <c r="C12" s="17" t="s">
        <v>302</v>
      </c>
      <c r="D12" s="17" t="s">
        <v>303</v>
      </c>
      <c r="E12" s="17" t="s">
        <v>298</v>
      </c>
    </row>
    <row r="13" spans="1:5" ht="14.25">
      <c r="A13" s="50">
        <v>3216.3</v>
      </c>
      <c r="B13" s="48">
        <v>242</v>
      </c>
      <c r="C13" s="48">
        <v>691</v>
      </c>
      <c r="D13" s="48"/>
      <c r="E13" s="6">
        <v>2356</v>
      </c>
    </row>
    <row r="14" spans="1:5" ht="14.25">
      <c r="A14" s="3"/>
      <c r="B14" s="1"/>
      <c r="C14" s="1"/>
      <c r="D14" s="1"/>
      <c r="E14" s="1"/>
    </row>
    <row r="15" spans="1:5" ht="12.75">
      <c r="A15" s="132" t="s">
        <v>304</v>
      </c>
      <c r="B15" s="49" t="s">
        <v>272</v>
      </c>
      <c r="C15" s="134" t="s">
        <v>273</v>
      </c>
      <c r="D15" s="21"/>
      <c r="E15" s="1"/>
    </row>
    <row r="16" spans="1:5" ht="12.75">
      <c r="A16" s="172"/>
      <c r="B16" s="49" t="s">
        <v>274</v>
      </c>
      <c r="C16" s="172"/>
      <c r="D16" s="1"/>
      <c r="E16" s="1"/>
    </row>
    <row r="17" spans="1:5" ht="12.75">
      <c r="A17" s="68"/>
      <c r="B17" s="65"/>
      <c r="C17" s="68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24" t="s">
        <v>293</v>
      </c>
      <c r="B19" s="125"/>
      <c r="C19" s="125"/>
      <c r="D19" s="46"/>
      <c r="E19" s="47" t="s">
        <v>297</v>
      </c>
    </row>
    <row r="20" spans="1:5" ht="12.75">
      <c r="A20" s="40" t="s">
        <v>294</v>
      </c>
      <c r="B20" s="41"/>
      <c r="C20" s="41"/>
      <c r="D20" s="42"/>
      <c r="E20" s="23">
        <f>E22+E23+E24+E25</f>
        <v>50032.843199999996</v>
      </c>
    </row>
    <row r="21" spans="1:5" ht="12.75">
      <c r="A21" s="126" t="s">
        <v>305</v>
      </c>
      <c r="B21" s="120"/>
      <c r="C21" s="120"/>
      <c r="D21" s="45"/>
      <c r="E21" s="20"/>
    </row>
    <row r="22" spans="1:5" ht="12.75">
      <c r="A22" s="121" t="s">
        <v>749</v>
      </c>
      <c r="B22" s="122"/>
      <c r="C22" s="122"/>
      <c r="D22" s="43"/>
      <c r="E22" s="44">
        <f>0.298*5800*1.75*1.203*12</f>
        <v>43664.5692</v>
      </c>
    </row>
    <row r="23" spans="1:5" ht="12.75">
      <c r="A23" s="135" t="s">
        <v>750</v>
      </c>
      <c r="B23" s="136"/>
      <c r="C23" s="136"/>
      <c r="D23" s="20"/>
      <c r="E23" s="25">
        <f>0.025*A13*12</f>
        <v>964.8900000000001</v>
      </c>
    </row>
    <row r="24" spans="1:5" ht="12.75">
      <c r="A24" s="135" t="s">
        <v>751</v>
      </c>
      <c r="B24" s="136"/>
      <c r="C24" s="136"/>
      <c r="D24" s="20"/>
      <c r="E24" s="25">
        <f>0.01*A13*12</f>
        <v>385.956</v>
      </c>
    </row>
    <row r="25" spans="1:5" ht="12.75">
      <c r="A25" s="135" t="s">
        <v>752</v>
      </c>
      <c r="B25" s="136"/>
      <c r="C25" s="136"/>
      <c r="D25" s="137"/>
      <c r="E25" s="26">
        <f>0.13*A13*12</f>
        <v>5017.428</v>
      </c>
    </row>
    <row r="26" spans="1:5" ht="12.75">
      <c r="A26" s="138" t="s">
        <v>295</v>
      </c>
      <c r="B26" s="139"/>
      <c r="C26" s="139"/>
      <c r="D26" s="20"/>
      <c r="E26" s="18">
        <f>E27+E28+E29+E30+E31+E33+E32</f>
        <v>74483.97320000001</v>
      </c>
    </row>
    <row r="27" spans="1:5" ht="12.75">
      <c r="A27" s="135" t="s">
        <v>753</v>
      </c>
      <c r="B27" s="136"/>
      <c r="C27" s="136"/>
      <c r="D27" s="20"/>
      <c r="E27" s="25">
        <f>158*1.5*101.01</f>
        <v>23939.370000000003</v>
      </c>
    </row>
    <row r="28" spans="1:5" ht="12.75">
      <c r="A28" s="135" t="s">
        <v>754</v>
      </c>
      <c r="B28" s="136"/>
      <c r="C28" s="136"/>
      <c r="D28" s="20"/>
      <c r="E28" s="25">
        <f>1.5*158*38.06</f>
        <v>9020.220000000001</v>
      </c>
    </row>
    <row r="29" spans="1:5" ht="12.75">
      <c r="A29" s="135" t="s">
        <v>755</v>
      </c>
      <c r="B29" s="136"/>
      <c r="C29" s="136"/>
      <c r="D29" s="20"/>
      <c r="E29" s="26">
        <f>7900*2.89</f>
        <v>22831</v>
      </c>
    </row>
    <row r="30" spans="1:5" ht="12.75">
      <c r="A30" s="135" t="s">
        <v>275</v>
      </c>
      <c r="B30" s="136"/>
      <c r="C30" s="136"/>
      <c r="D30" s="20"/>
      <c r="E30" s="25">
        <f>0.002*A13*12</f>
        <v>77.19120000000001</v>
      </c>
    </row>
    <row r="31" spans="1:5" ht="12.75">
      <c r="A31" s="135" t="s">
        <v>0</v>
      </c>
      <c r="B31" s="136"/>
      <c r="C31" s="136"/>
      <c r="D31" s="20"/>
      <c r="E31" s="25">
        <f>0.32*A13*12</f>
        <v>12350.592</v>
      </c>
    </row>
    <row r="32" spans="1:5" ht="12.75" customHeight="1">
      <c r="A32" s="135" t="s">
        <v>724</v>
      </c>
      <c r="B32" s="136"/>
      <c r="C32" s="136"/>
      <c r="D32" s="20"/>
      <c r="E32" s="25">
        <f>80*6.08+80*18.06*4</f>
        <v>6265.599999999999</v>
      </c>
    </row>
    <row r="33" spans="1:5" ht="12.75">
      <c r="A33" s="27" t="s">
        <v>308</v>
      </c>
      <c r="B33" s="28"/>
      <c r="C33" s="28"/>
      <c r="D33" s="20"/>
      <c r="E33" s="5"/>
    </row>
    <row r="34" spans="1:5" ht="12.75">
      <c r="A34" s="140" t="s">
        <v>311</v>
      </c>
      <c r="B34" s="141"/>
      <c r="C34" s="141"/>
      <c r="D34" s="29"/>
      <c r="E34" s="8">
        <v>172765</v>
      </c>
    </row>
    <row r="35" spans="1:5" ht="12.75">
      <c r="A35" s="52" t="s">
        <v>324</v>
      </c>
      <c r="B35" s="53"/>
      <c r="C35" s="53" t="s">
        <v>1</v>
      </c>
      <c r="D35" s="29"/>
      <c r="E35" s="18">
        <f>0.78*A13*12</f>
        <v>30104.568000000007</v>
      </c>
    </row>
    <row r="36" spans="1:5" ht="12.75">
      <c r="A36" s="142" t="s">
        <v>2</v>
      </c>
      <c r="B36" s="143"/>
      <c r="C36" s="143"/>
      <c r="D36" s="29"/>
      <c r="E36" s="18">
        <f>2.04*A13*12</f>
        <v>78735.024</v>
      </c>
    </row>
    <row r="37" spans="1:5" ht="12.75">
      <c r="A37" s="35" t="s">
        <v>284</v>
      </c>
      <c r="B37" s="36"/>
      <c r="C37" s="36" t="s">
        <v>276</v>
      </c>
      <c r="D37" s="37"/>
      <c r="E37" s="8">
        <f>0.003*A13*12</f>
        <v>115.78680000000001</v>
      </c>
    </row>
    <row r="38" spans="1:5" ht="12.75">
      <c r="A38" s="144" t="s">
        <v>367</v>
      </c>
      <c r="B38" s="145"/>
      <c r="C38" s="145"/>
      <c r="D38" s="29"/>
      <c r="E38" s="8">
        <f>E37+E36+E35+E34+E26+E20</f>
        <v>406237.1952</v>
      </c>
    </row>
    <row r="39" spans="1:5" ht="12.75" customHeight="1">
      <c r="A39" s="146" t="s">
        <v>398</v>
      </c>
      <c r="B39" s="147"/>
      <c r="C39" s="147"/>
      <c r="D39" s="29"/>
      <c r="E39" s="19">
        <f>E38*0.06</f>
        <v>24374.231712</v>
      </c>
    </row>
    <row r="40" spans="1:5" ht="12.75" customHeight="1">
      <c r="A40" s="177" t="s">
        <v>83</v>
      </c>
      <c r="B40" s="178"/>
      <c r="C40" s="117"/>
      <c r="D40" s="29"/>
      <c r="E40" s="19">
        <f>A13*11.27*12*0.01</f>
        <v>4349.72412</v>
      </c>
    </row>
    <row r="41" spans="1:5" ht="12.75">
      <c r="A41" s="144" t="s">
        <v>316</v>
      </c>
      <c r="B41" s="145"/>
      <c r="C41" s="145"/>
      <c r="D41" s="29"/>
      <c r="E41" s="8">
        <f>SUM(E38:E40)</f>
        <v>434961.151032</v>
      </c>
    </row>
    <row r="42" spans="1:5" ht="12.75">
      <c r="A42" s="7" t="s">
        <v>307</v>
      </c>
      <c r="B42" s="38"/>
      <c r="C42" s="39"/>
      <c r="D42" s="8" t="s">
        <v>296</v>
      </c>
      <c r="E42" s="103">
        <f>E41/A13/12</f>
        <v>11.269708231819171</v>
      </c>
    </row>
    <row r="43" spans="1:5" ht="12.75">
      <c r="A43" s="10"/>
      <c r="B43" s="11"/>
      <c r="C43" s="12"/>
      <c r="D43" s="12"/>
      <c r="E43" s="1"/>
    </row>
  </sheetData>
  <mergeCells count="23">
    <mergeCell ref="A36:C36"/>
    <mergeCell ref="A38:C38"/>
    <mergeCell ref="A39:C39"/>
    <mergeCell ref="A41:C41"/>
    <mergeCell ref="A40:B40"/>
    <mergeCell ref="A32:C32"/>
    <mergeCell ref="A34:C34"/>
    <mergeCell ref="A28:C28"/>
    <mergeCell ref="A29:C29"/>
    <mergeCell ref="A30:C30"/>
    <mergeCell ref="A31:C31"/>
    <mergeCell ref="A24:C24"/>
    <mergeCell ref="A25:D25"/>
    <mergeCell ref="A26:C26"/>
    <mergeCell ref="A27:C27"/>
    <mergeCell ref="A19:C19"/>
    <mergeCell ref="A21:C21"/>
    <mergeCell ref="A22:C22"/>
    <mergeCell ref="A23:C23"/>
    <mergeCell ref="A6:E6"/>
    <mergeCell ref="A11:E11"/>
    <mergeCell ref="A15:A16"/>
    <mergeCell ref="C15:C1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39" sqref="E39"/>
    </sheetView>
  </sheetViews>
  <sheetFormatPr defaultColWidth="9.00390625" defaultRowHeight="12.75"/>
  <cols>
    <col min="1" max="1" width="12.375" style="0" customWidth="1"/>
    <col min="2" max="2" width="19.625" style="0" customWidth="1"/>
    <col min="3" max="3" width="18.875" style="0" customWidth="1"/>
    <col min="4" max="4" width="15.625" style="0" customWidth="1"/>
    <col min="5" max="5" width="13.875" style="0" customWidth="1"/>
  </cols>
  <sheetData>
    <row r="1" spans="3:4" ht="15">
      <c r="C1" s="54" t="s">
        <v>310</v>
      </c>
      <c r="D1" s="54"/>
    </row>
    <row r="2" spans="3:4" ht="15">
      <c r="C2" s="54" t="s">
        <v>277</v>
      </c>
      <c r="D2" s="54"/>
    </row>
    <row r="3" spans="3:4" ht="15">
      <c r="C3" s="54" t="s">
        <v>278</v>
      </c>
      <c r="D3" s="54"/>
    </row>
    <row r="4" spans="3:4" ht="15">
      <c r="C4" s="54"/>
      <c r="D4" s="54"/>
    </row>
    <row r="6" spans="1:5" ht="21" customHeight="1">
      <c r="A6" s="170" t="s">
        <v>547</v>
      </c>
      <c r="B6" s="171"/>
      <c r="C6" s="171"/>
      <c r="D6" s="171"/>
      <c r="E6" s="171"/>
    </row>
    <row r="7" spans="1:5" ht="15.75">
      <c r="A7" s="2" t="s">
        <v>296</v>
      </c>
      <c r="B7" s="2"/>
      <c r="C7" s="1"/>
      <c r="D7" s="1"/>
      <c r="E7" s="1"/>
    </row>
    <row r="8" spans="1:5" ht="15" customHeight="1">
      <c r="A8" s="3" t="s">
        <v>386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29" t="s">
        <v>299</v>
      </c>
      <c r="B10" s="130"/>
      <c r="C10" s="130"/>
      <c r="D10" s="130"/>
      <c r="E10" s="131"/>
    </row>
    <row r="11" spans="1: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</row>
    <row r="12" spans="1:5" ht="14.25">
      <c r="A12" s="50">
        <v>3231.7</v>
      </c>
      <c r="B12" s="48">
        <v>244</v>
      </c>
      <c r="C12" s="48">
        <v>400</v>
      </c>
      <c r="D12" s="48"/>
      <c r="E12" s="6">
        <v>1500</v>
      </c>
    </row>
    <row r="13" spans="1:5" ht="14.25">
      <c r="A13" s="3"/>
      <c r="B13" s="1"/>
      <c r="C13" s="1"/>
      <c r="D13" s="1"/>
      <c r="E13" s="1"/>
    </row>
    <row r="14" spans="1:5" ht="12.75">
      <c r="A14" s="132" t="s">
        <v>304</v>
      </c>
      <c r="B14" s="49" t="s">
        <v>358</v>
      </c>
      <c r="C14" s="134" t="s">
        <v>369</v>
      </c>
      <c r="D14" s="21"/>
      <c r="E14" s="1"/>
    </row>
    <row r="15" spans="1:5" ht="12.75">
      <c r="A15" s="172"/>
      <c r="B15" s="49" t="s">
        <v>359</v>
      </c>
      <c r="C15" s="172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24" t="s">
        <v>293</v>
      </c>
      <c r="B17" s="125"/>
      <c r="C17" s="125"/>
      <c r="D17" s="46"/>
      <c r="E17" s="47" t="s">
        <v>297</v>
      </c>
    </row>
    <row r="18" spans="1:5" ht="12.75">
      <c r="A18" s="40" t="s">
        <v>294</v>
      </c>
      <c r="B18" s="41"/>
      <c r="C18" s="41"/>
      <c r="D18" s="42"/>
      <c r="E18" s="23">
        <f>E20+E21+E22+E23</f>
        <v>74903.766</v>
      </c>
    </row>
    <row r="19" spans="1:5" ht="12.75">
      <c r="A19" s="126" t="s">
        <v>305</v>
      </c>
      <c r="B19" s="120"/>
      <c r="C19" s="120"/>
      <c r="D19" s="45"/>
      <c r="E19" s="20"/>
    </row>
    <row r="20" spans="1:5" ht="12.75">
      <c r="A20" s="121" t="s">
        <v>387</v>
      </c>
      <c r="B20" s="122"/>
      <c r="C20" s="122"/>
      <c r="D20" s="43"/>
      <c r="E20" s="44">
        <v>68505</v>
      </c>
    </row>
    <row r="21" spans="1:5" ht="12.75">
      <c r="A21" s="135" t="s">
        <v>3</v>
      </c>
      <c r="B21" s="136"/>
      <c r="C21" s="136"/>
      <c r="D21" s="20"/>
      <c r="E21" s="25">
        <f>0.025*A12*12</f>
        <v>969.51</v>
      </c>
    </row>
    <row r="22" spans="1:5" ht="12.75">
      <c r="A22" s="135" t="s">
        <v>4</v>
      </c>
      <c r="B22" s="136"/>
      <c r="C22" s="136"/>
      <c r="D22" s="20"/>
      <c r="E22" s="25">
        <f>0.01*A12*12</f>
        <v>387.804</v>
      </c>
    </row>
    <row r="23" spans="1:5" ht="12.75">
      <c r="A23" s="135" t="s">
        <v>660</v>
      </c>
      <c r="B23" s="136"/>
      <c r="C23" s="136"/>
      <c r="D23" s="137"/>
      <c r="E23" s="26">
        <f>0.13*A12*12</f>
        <v>5041.451999999999</v>
      </c>
    </row>
    <row r="24" spans="1:5" ht="12.75">
      <c r="A24" s="138" t="s">
        <v>295</v>
      </c>
      <c r="B24" s="139"/>
      <c r="C24" s="139"/>
      <c r="D24" s="20"/>
      <c r="E24" s="18">
        <f>E25+E26+E27+E28+E29+E30+E3</f>
        <v>69150.1488</v>
      </c>
    </row>
    <row r="25" spans="1:5" ht="12.75">
      <c r="A25" s="135" t="s">
        <v>388</v>
      </c>
      <c r="B25" s="136"/>
      <c r="C25" s="136"/>
      <c r="D25" s="20"/>
      <c r="E25" s="25">
        <f>270*101.01</f>
        <v>27272.7</v>
      </c>
    </row>
    <row r="26" spans="1:5" ht="12.75">
      <c r="A26" s="135" t="s">
        <v>5</v>
      </c>
      <c r="B26" s="136"/>
      <c r="C26" s="136"/>
      <c r="D26" s="20"/>
      <c r="E26" s="25">
        <f>270*38.06</f>
        <v>10276.2</v>
      </c>
    </row>
    <row r="27" spans="1:5" ht="12.75">
      <c r="A27" s="135" t="s">
        <v>6</v>
      </c>
      <c r="B27" s="136"/>
      <c r="C27" s="136"/>
      <c r="D27" s="20"/>
      <c r="E27" s="26">
        <f>4500*2.89</f>
        <v>13005</v>
      </c>
    </row>
    <row r="28" spans="1:5" ht="12.75">
      <c r="A28" s="135" t="s">
        <v>389</v>
      </c>
      <c r="B28" s="136"/>
      <c r="C28" s="136"/>
      <c r="D28" s="20"/>
      <c r="E28" s="25">
        <f>0.002*A12*12</f>
        <v>77.5608</v>
      </c>
    </row>
    <row r="29" spans="1:5" ht="12.75">
      <c r="A29" s="135" t="s">
        <v>7</v>
      </c>
      <c r="B29" s="136"/>
      <c r="C29" s="136"/>
      <c r="D29" s="20"/>
      <c r="E29" s="25">
        <f>0.32*A12*12</f>
        <v>12409.728</v>
      </c>
    </row>
    <row r="30" spans="1:5" ht="12.75">
      <c r="A30" s="135" t="s">
        <v>390</v>
      </c>
      <c r="B30" s="136"/>
      <c r="C30" s="136"/>
      <c r="D30" s="20"/>
      <c r="E30" s="26">
        <f>78*6.08+(78*18.06*4)</f>
        <v>6108.959999999999</v>
      </c>
    </row>
    <row r="31" spans="1:5" ht="12.75">
      <c r="A31" s="27" t="s">
        <v>308</v>
      </c>
      <c r="B31" s="28" t="s">
        <v>8</v>
      </c>
      <c r="C31" s="28"/>
      <c r="D31" s="20"/>
      <c r="E31" s="5">
        <f>78*147</f>
        <v>11466</v>
      </c>
    </row>
    <row r="32" spans="1:5" ht="12.75">
      <c r="A32" s="140" t="s">
        <v>311</v>
      </c>
      <c r="B32" s="141"/>
      <c r="C32" s="141"/>
      <c r="D32" s="29"/>
      <c r="E32" s="8">
        <v>127050</v>
      </c>
    </row>
    <row r="33" spans="1:5" ht="12.75">
      <c r="A33" s="52" t="s">
        <v>324</v>
      </c>
      <c r="B33" s="53"/>
      <c r="C33" s="53" t="s">
        <v>9</v>
      </c>
      <c r="D33" s="29"/>
      <c r="E33" s="18">
        <f>0.78*A12*12</f>
        <v>30248.712</v>
      </c>
    </row>
    <row r="34" spans="1:5" ht="12.75">
      <c r="A34" s="185" t="s">
        <v>10</v>
      </c>
      <c r="B34" s="186"/>
      <c r="C34" s="186"/>
      <c r="D34" s="29"/>
      <c r="E34" s="18">
        <f>2.04*A12*12</f>
        <v>79112.016</v>
      </c>
    </row>
    <row r="35" spans="1:5" ht="12.75">
      <c r="A35" s="35" t="s">
        <v>284</v>
      </c>
      <c r="B35" s="36"/>
      <c r="C35" s="36" t="s">
        <v>361</v>
      </c>
      <c r="D35" s="37"/>
      <c r="E35" s="8">
        <f>0.003*A12*12</f>
        <v>116.3412</v>
      </c>
    </row>
    <row r="36" spans="1:5" ht="12.75">
      <c r="A36" s="144" t="s">
        <v>367</v>
      </c>
      <c r="B36" s="145"/>
      <c r="C36" s="145"/>
      <c r="D36" s="29"/>
      <c r="E36" s="8">
        <f>E35+E34+E33+E32+E24+E18</f>
        <v>380580.984</v>
      </c>
    </row>
    <row r="37" spans="1:5" ht="12.75" customHeight="1">
      <c r="A37" s="146" t="s">
        <v>398</v>
      </c>
      <c r="B37" s="147"/>
      <c r="C37" s="147"/>
      <c r="D37" s="29"/>
      <c r="E37" s="19">
        <f>E36*0.06</f>
        <v>22834.85904</v>
      </c>
    </row>
    <row r="38" spans="1:5" ht="12.75" customHeight="1">
      <c r="A38" s="177" t="s">
        <v>83</v>
      </c>
      <c r="B38" s="178"/>
      <c r="C38" s="117"/>
      <c r="D38" s="29"/>
      <c r="E38" s="19">
        <f>A12*11.27*12*0.01</f>
        <v>4370.55108</v>
      </c>
    </row>
    <row r="39" spans="1:5" ht="12.75">
      <c r="A39" s="144" t="s">
        <v>316</v>
      </c>
      <c r="B39" s="145"/>
      <c r="C39" s="145"/>
      <c r="D39" s="29"/>
      <c r="E39" s="8">
        <f>SUM(E36:E38)</f>
        <v>407786.39412</v>
      </c>
    </row>
    <row r="40" spans="1:5" ht="12.75">
      <c r="A40" s="7" t="s">
        <v>307</v>
      </c>
      <c r="B40" s="38"/>
      <c r="C40" s="39"/>
      <c r="D40" s="8" t="s">
        <v>296</v>
      </c>
      <c r="E40" s="55">
        <f>E39/A12/12</f>
        <v>10.515270448989696</v>
      </c>
    </row>
    <row r="41" spans="1:5" ht="12.75">
      <c r="A41" s="10"/>
      <c r="B41" s="11"/>
      <c r="C41" s="12"/>
      <c r="D41" s="12"/>
      <c r="E41" s="1"/>
    </row>
    <row r="44" ht="12.75">
      <c r="A44" s="61" t="s">
        <v>344</v>
      </c>
    </row>
    <row r="45" ht="12.75">
      <c r="A45" s="16" t="s">
        <v>391</v>
      </c>
    </row>
  </sheetData>
  <mergeCells count="23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26:C26"/>
    <mergeCell ref="A27:C27"/>
    <mergeCell ref="A28:C28"/>
    <mergeCell ref="A29:C29"/>
    <mergeCell ref="A36:C36"/>
    <mergeCell ref="A37:C37"/>
    <mergeCell ref="A39:C39"/>
    <mergeCell ref="A30:C30"/>
    <mergeCell ref="A32:C32"/>
    <mergeCell ref="A34:C34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:IV16384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5">
      <c r="C3" s="54" t="s">
        <v>278</v>
      </c>
      <c r="D3" s="69"/>
      <c r="E3" s="69"/>
    </row>
    <row r="6" spans="1:5" ht="22.5" customHeight="1">
      <c r="A6" s="170" t="s">
        <v>547</v>
      </c>
      <c r="B6" s="171"/>
      <c r="C6" s="171"/>
      <c r="D6" s="171"/>
      <c r="E6" s="171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296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482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129" t="s">
        <v>299</v>
      </c>
      <c r="B12" s="130"/>
      <c r="C12" s="130"/>
      <c r="D12" s="130"/>
      <c r="E12" s="131"/>
      <c r="F12" s="24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7" t="s">
        <v>300</v>
      </c>
      <c r="B13" s="17" t="s">
        <v>301</v>
      </c>
      <c r="C13" s="17" t="s">
        <v>302</v>
      </c>
      <c r="D13" s="17" t="s">
        <v>303</v>
      </c>
      <c r="E13" s="17" t="s">
        <v>298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50">
        <v>244</v>
      </c>
      <c r="B14" s="6"/>
      <c r="C14" s="6"/>
      <c r="D14" s="6"/>
      <c r="E14" s="6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68"/>
      <c r="B16" s="65"/>
      <c r="C16" s="6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24" t="s">
        <v>293</v>
      </c>
      <c r="B18" s="125"/>
      <c r="C18" s="125"/>
      <c r="D18" s="46"/>
      <c r="E18" s="47" t="s">
        <v>297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294</v>
      </c>
      <c r="B19" s="41"/>
      <c r="C19" s="41"/>
      <c r="D19" s="42"/>
      <c r="E19" s="23">
        <f>E21+E22+E23+E24</f>
        <v>1362.2724000000003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6" t="s">
        <v>410</v>
      </c>
      <c r="B20" s="120"/>
      <c r="C20" s="120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21" t="s">
        <v>595</v>
      </c>
      <c r="B21" s="122"/>
      <c r="C21" s="122"/>
      <c r="D21" s="43"/>
      <c r="E21" s="44">
        <f>0.006*5800*1.75*1.203*12</f>
        <v>879.1524000000002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596</v>
      </c>
      <c r="B22" s="136"/>
      <c r="C22" s="136"/>
      <c r="D22" s="20"/>
      <c r="E22" s="25">
        <f>0.025*A14*12</f>
        <v>73.2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597</v>
      </c>
      <c r="B23" s="136"/>
      <c r="C23" s="136"/>
      <c r="D23" s="20"/>
      <c r="E23" s="25">
        <f>0.01*A14*12</f>
        <v>29.28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35" t="s">
        <v>598</v>
      </c>
      <c r="B24" s="136"/>
      <c r="C24" s="136"/>
      <c r="D24" s="137"/>
      <c r="E24" s="26">
        <f>0.13*A14*12</f>
        <v>380.64000000000004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8" t="s">
        <v>295</v>
      </c>
      <c r="B25" s="139"/>
      <c r="C25" s="139"/>
      <c r="D25" s="20"/>
      <c r="E25" s="18">
        <f>E26+E27+E28+E29+E30+E31</f>
        <v>4116.486000000001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600</v>
      </c>
      <c r="B26" s="136"/>
      <c r="C26" s="136"/>
      <c r="D26" s="20"/>
      <c r="E26" s="25">
        <f>14*1.5*101.01</f>
        <v>2121.21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601</v>
      </c>
      <c r="B27" s="136"/>
      <c r="C27" s="136"/>
      <c r="D27" s="20"/>
      <c r="E27" s="25">
        <f>14*1.5*38.06</f>
        <v>799.26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483</v>
      </c>
      <c r="B28" s="136"/>
      <c r="C28" s="136"/>
      <c r="D28" s="20"/>
      <c r="E28" s="25">
        <f>0.002*A14*12</f>
        <v>5.856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602</v>
      </c>
      <c r="B29" s="136"/>
      <c r="C29" s="136"/>
      <c r="D29" s="20"/>
      <c r="E29" s="25">
        <f>0.32*A14*12</f>
        <v>936.96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604</v>
      </c>
      <c r="B30" s="136"/>
      <c r="C30" s="136"/>
      <c r="D30" s="20"/>
      <c r="E30" s="67">
        <f>6*6.08+(6*18.06)*2</f>
        <v>253.2</v>
      </c>
      <c r="F30" s="66"/>
      <c r="G30" s="66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308</v>
      </c>
      <c r="B31" s="28" t="s">
        <v>327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6973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30" t="s">
        <v>312</v>
      </c>
      <c r="B33" s="167" t="s">
        <v>599</v>
      </c>
      <c r="C33" s="167"/>
      <c r="D33" s="29"/>
      <c r="E33" s="18">
        <f>0.78*A14*12</f>
        <v>2283.84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31" t="s">
        <v>313</v>
      </c>
      <c r="B34" s="32"/>
      <c r="C34" s="33" t="s">
        <v>605</v>
      </c>
      <c r="D34" s="34"/>
      <c r="E34" s="18">
        <f>2.04*A14*12</f>
        <v>5973.12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484</v>
      </c>
      <c r="D35" s="37"/>
      <c r="E35" s="18">
        <f>0.003*A14*12</f>
        <v>8.783999999999999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E35+E34+E33+E32+E25+E19</f>
        <v>20717.5024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1243.050144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44" t="s">
        <v>306</v>
      </c>
      <c r="B38" s="145"/>
      <c r="C38" s="145"/>
      <c r="D38" s="29"/>
      <c r="E38" s="8">
        <f>SUM(E36:E37)</f>
        <v>21960.552544000002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7" t="s">
        <v>307</v>
      </c>
      <c r="B39" s="38"/>
      <c r="C39" s="39"/>
      <c r="D39" s="8"/>
      <c r="E39" s="103">
        <f>E38/A14/12</f>
        <v>7.500188710382514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0"/>
      <c r="B40" s="11"/>
      <c r="C40" s="12"/>
      <c r="D40" s="12"/>
      <c r="E40" s="62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6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2"/>
      <c r="D42" s="12"/>
      <c r="E42" s="6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 customHeight="1">
      <c r="A43" s="10"/>
      <c r="B43" s="11"/>
      <c r="C43" s="64"/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0"/>
      <c r="B44" s="11"/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0"/>
      <c r="B45" s="11"/>
      <c r="C45" s="13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4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4"/>
      <c r="C47" s="15"/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 t="s">
        <v>296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9">
    <mergeCell ref="A6:E6"/>
    <mergeCell ref="A12:E12"/>
    <mergeCell ref="A18:C18"/>
    <mergeCell ref="A20:C20"/>
    <mergeCell ref="A21:C21"/>
    <mergeCell ref="A22:C22"/>
    <mergeCell ref="A23:C23"/>
    <mergeCell ref="A24:D24"/>
    <mergeCell ref="A29:C29"/>
    <mergeCell ref="A30:C30"/>
    <mergeCell ref="A32:C32"/>
    <mergeCell ref="A25:C25"/>
    <mergeCell ref="A26:C26"/>
    <mergeCell ref="A27:C27"/>
    <mergeCell ref="A28:C28"/>
    <mergeCell ref="B33:C33"/>
    <mergeCell ref="A36:C36"/>
    <mergeCell ref="A37:C37"/>
    <mergeCell ref="A38:C3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H30" sqref="H30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  <col min="5" max="5" width="12.625" style="0" customWidth="1"/>
    <col min="6" max="6" width="12.75390625" style="0" hidden="1" customWidth="1"/>
    <col min="7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5">
      <c r="C3" s="54" t="s">
        <v>278</v>
      </c>
      <c r="D3" s="69"/>
      <c r="E3" s="69"/>
    </row>
    <row r="6" spans="1:5" ht="22.5" customHeight="1">
      <c r="A6" s="170" t="s">
        <v>547</v>
      </c>
      <c r="B6" s="171"/>
      <c r="C6" s="171"/>
      <c r="D6" s="171"/>
      <c r="E6" s="171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296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11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129" t="s">
        <v>299</v>
      </c>
      <c r="B12" s="130"/>
      <c r="C12" s="130"/>
      <c r="D12" s="130"/>
      <c r="E12" s="131"/>
      <c r="F12" s="24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7" t="s">
        <v>300</v>
      </c>
      <c r="B13" s="17" t="s">
        <v>301</v>
      </c>
      <c r="C13" s="17" t="s">
        <v>302</v>
      </c>
      <c r="D13" s="17" t="s">
        <v>303</v>
      </c>
      <c r="E13" s="17" t="s">
        <v>298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50">
        <v>228</v>
      </c>
      <c r="B14" s="6"/>
      <c r="C14" s="6"/>
      <c r="D14" s="6"/>
      <c r="E14" s="6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68"/>
      <c r="B16" s="65"/>
      <c r="C16" s="6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24" t="s">
        <v>293</v>
      </c>
      <c r="B18" s="125"/>
      <c r="C18" s="125"/>
      <c r="D18" s="46"/>
      <c r="E18" s="47" t="s">
        <v>297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0" t="s">
        <v>294</v>
      </c>
      <c r="B19" s="41"/>
      <c r="C19" s="41"/>
      <c r="D19" s="42"/>
      <c r="E19" s="23">
        <f>E21+E22+E23</f>
        <v>885.6446400000002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6" t="s">
        <v>410</v>
      </c>
      <c r="B20" s="120"/>
      <c r="C20" s="120"/>
      <c r="D20" s="45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21" t="s">
        <v>19</v>
      </c>
      <c r="B21" s="122"/>
      <c r="C21" s="122"/>
      <c r="D21" s="43"/>
      <c r="E21" s="44">
        <f>0.006*5800*1.3*1.203*12</f>
        <v>653.0846400000003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13</v>
      </c>
      <c r="B22" s="136"/>
      <c r="C22" s="136"/>
      <c r="D22" s="20"/>
      <c r="E22" s="25">
        <f>0.025*A14*12</f>
        <v>68.4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16</v>
      </c>
      <c r="B23" s="136"/>
      <c r="C23" s="136"/>
      <c r="D23" s="137"/>
      <c r="E23" s="26">
        <f>0.06*A14*12</f>
        <v>164.16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</f>
        <v>2410.97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12</v>
      </c>
      <c r="B25" s="136"/>
      <c r="C25" s="136"/>
      <c r="D25" s="20"/>
      <c r="E25" s="25">
        <f>10*1.5*101.01</f>
        <v>1515.15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14</v>
      </c>
      <c r="B26" s="136"/>
      <c r="C26" s="136"/>
      <c r="D26" s="20"/>
      <c r="E26" s="25">
        <f>14*1.5*38.06</f>
        <v>799.26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18</v>
      </c>
      <c r="B27" s="136"/>
      <c r="C27" s="136"/>
      <c r="D27" s="20"/>
      <c r="E27" s="67">
        <f>4*6.08+(4*18.06)</f>
        <v>96.56</v>
      </c>
      <c r="F27" s="66"/>
      <c r="G27" s="66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40" t="s">
        <v>311</v>
      </c>
      <c r="B28" s="141"/>
      <c r="C28" s="141"/>
      <c r="D28" s="29"/>
      <c r="E28" s="8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30" t="s">
        <v>312</v>
      </c>
      <c r="B29" s="167" t="s">
        <v>17</v>
      </c>
      <c r="C29" s="167"/>
      <c r="D29" s="29"/>
      <c r="E29" s="18">
        <f>228*0.09*1.18*12+228*2.29*12*0.017</f>
        <v>397.07568000000003</v>
      </c>
      <c r="F29" s="1">
        <f>E29/A14/12</f>
        <v>0.14513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31" t="s">
        <v>313</v>
      </c>
      <c r="B30" s="32"/>
      <c r="C30" s="33" t="s">
        <v>15</v>
      </c>
      <c r="D30" s="34"/>
      <c r="E30" s="18">
        <f>0.84*A14*12</f>
        <v>2298.24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35" t="s">
        <v>314</v>
      </c>
      <c r="B31" s="36"/>
      <c r="C31" s="36" t="s">
        <v>484</v>
      </c>
      <c r="D31" s="37"/>
      <c r="E31" s="18">
        <f>0.003*A14*12</f>
        <v>8.208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4" t="s">
        <v>315</v>
      </c>
      <c r="B32" s="145"/>
      <c r="C32" s="145"/>
      <c r="D32" s="29"/>
      <c r="E32" s="8">
        <f>E31+E30+E29+E28+E24+E19</f>
        <v>6000.13832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46" t="s">
        <v>385</v>
      </c>
      <c r="B33" s="147"/>
      <c r="C33" s="147"/>
      <c r="D33" s="29"/>
      <c r="E33" s="19">
        <f>E32*0.034</f>
        <v>204.00470288000002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8" t="s">
        <v>561</v>
      </c>
      <c r="B34" s="149"/>
      <c r="C34" s="117"/>
      <c r="D34" s="91"/>
      <c r="E34" s="19">
        <f>A14*2.29*12*0.01</f>
        <v>62.65440000000001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44" t="s">
        <v>306</v>
      </c>
      <c r="B35" s="145"/>
      <c r="C35" s="145"/>
      <c r="D35" s="29"/>
      <c r="E35" s="8">
        <f>SUM(E32:E34)</f>
        <v>6266.79742288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7" t="s">
        <v>307</v>
      </c>
      <c r="B36" s="38"/>
      <c r="C36" s="39"/>
      <c r="D36" s="8"/>
      <c r="E36" s="103">
        <f>E35/A14/12</f>
        <v>2.2904961340935674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0"/>
      <c r="B37" s="11"/>
      <c r="C37" s="12"/>
      <c r="D37" s="12"/>
      <c r="E37" s="62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0"/>
      <c r="B38" s="11"/>
      <c r="C38" s="12"/>
      <c r="D38" s="12"/>
      <c r="E38" s="62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0"/>
      <c r="B39" s="11"/>
      <c r="C39" s="12"/>
      <c r="D39" s="12"/>
      <c r="E39" s="62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5" customHeight="1">
      <c r="A40" s="10"/>
      <c r="B40" s="11"/>
      <c r="C40" s="64"/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6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296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17">
    <mergeCell ref="A32:C32"/>
    <mergeCell ref="A33:C33"/>
    <mergeCell ref="A35:C35"/>
    <mergeCell ref="A34:B34"/>
    <mergeCell ref="A27:C27"/>
    <mergeCell ref="A28:C28"/>
    <mergeCell ref="B29:C29"/>
    <mergeCell ref="A24:C24"/>
    <mergeCell ref="A25:C25"/>
    <mergeCell ref="A26:C26"/>
    <mergeCell ref="A21:C21"/>
    <mergeCell ref="A22:C22"/>
    <mergeCell ref="A23:D23"/>
    <mergeCell ref="A6:E6"/>
    <mergeCell ref="A12:E12"/>
    <mergeCell ref="A18:C18"/>
    <mergeCell ref="A20:C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38" sqref="A38: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  <col min="6" max="16384" width="12.75390625" style="0" customWidth="1"/>
  </cols>
  <sheetData>
    <row r="1" spans="3:4" ht="15">
      <c r="C1" s="54" t="s">
        <v>310</v>
      </c>
      <c r="D1" s="54"/>
    </row>
    <row r="2" spans="3:4" ht="15">
      <c r="C2" s="54" t="s">
        <v>341</v>
      </c>
      <c r="D2" s="54"/>
    </row>
    <row r="3" spans="3:4" ht="15">
      <c r="C3" s="54" t="s">
        <v>278</v>
      </c>
      <c r="D3" s="54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345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0">
        <v>3373.2</v>
      </c>
      <c r="B12" s="48">
        <v>215.6</v>
      </c>
      <c r="C12" s="48">
        <v>822.4</v>
      </c>
      <c r="D12" s="48">
        <v>0</v>
      </c>
      <c r="E12" s="6">
        <v>1428.8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49" t="s">
        <v>346</v>
      </c>
      <c r="C14" s="134" t="s">
        <v>348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72"/>
      <c r="B15" s="49" t="s">
        <v>347</v>
      </c>
      <c r="C15" s="17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53567.064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606</v>
      </c>
      <c r="B20" s="122"/>
      <c r="C20" s="122"/>
      <c r="D20" s="43"/>
      <c r="E20" s="44">
        <f>0.32*5800*1.75*1.203*12</f>
        <v>46888.128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35" t="s">
        <v>607</v>
      </c>
      <c r="B21" s="136"/>
      <c r="C21" s="136"/>
      <c r="D21" s="20"/>
      <c r="E21" s="25">
        <f>0.025*A12*12</f>
        <v>1011.96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135" t="s">
        <v>608</v>
      </c>
      <c r="B22" s="136"/>
      <c r="C22" s="136"/>
      <c r="D22" s="20"/>
      <c r="E22" s="25">
        <f>0.01*A12*12</f>
        <v>404.784</v>
      </c>
      <c r="F22" s="1"/>
      <c r="G22" s="51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135" t="s">
        <v>609</v>
      </c>
      <c r="B23" s="136"/>
      <c r="C23" s="136"/>
      <c r="D23" s="137"/>
      <c r="E23" s="26">
        <f>0.13*A12*12</f>
        <v>5262.192</v>
      </c>
      <c r="F23" s="1"/>
      <c r="G23" s="5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64491.46480000001</v>
      </c>
      <c r="F24" s="1"/>
      <c r="G24" s="1"/>
      <c r="H24" s="1"/>
      <c r="I24" s="51"/>
      <c r="J24" s="1"/>
      <c r="K24" s="1"/>
      <c r="L24" s="1"/>
      <c r="M24" s="1"/>
      <c r="N24" s="1"/>
      <c r="O24" s="1"/>
    </row>
    <row r="25" spans="1:15" ht="12.75" customHeight="1">
      <c r="A25" s="135" t="s">
        <v>610</v>
      </c>
      <c r="B25" s="136"/>
      <c r="C25" s="136"/>
      <c r="D25" s="20"/>
      <c r="E25" s="25">
        <f>152*1.5*101.01</f>
        <v>23030.280000000002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611</v>
      </c>
      <c r="B26" s="136"/>
      <c r="C26" s="136"/>
      <c r="D26" s="20"/>
      <c r="E26" s="25">
        <f>158*1.5*35.02</f>
        <v>8299.740000000002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612</v>
      </c>
      <c r="B27" s="136"/>
      <c r="C27" s="136"/>
      <c r="D27" s="20"/>
      <c r="E27" s="26">
        <f>7250*2.02</f>
        <v>14645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349</v>
      </c>
      <c r="B28" s="136"/>
      <c r="C28" s="136"/>
      <c r="D28" s="20"/>
      <c r="E28" s="25">
        <f>0.002*A12*12</f>
        <v>80.95679999999999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613</v>
      </c>
      <c r="B29" s="136"/>
      <c r="C29" s="136"/>
      <c r="D29" s="20"/>
      <c r="E29" s="25">
        <f>0.32*A12*12</f>
        <v>12953.088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592</v>
      </c>
      <c r="B30" s="136"/>
      <c r="C30" s="136"/>
      <c r="D30" s="20"/>
      <c r="E30" s="26">
        <f>70*6.08+(70*18.06*4)</f>
        <v>5482.4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308</v>
      </c>
      <c r="B31" s="28"/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193750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614</v>
      </c>
      <c r="D33" s="29"/>
      <c r="E33" s="18">
        <f>0.78*A12*12</f>
        <v>31573.152000000002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68" t="s">
        <v>357</v>
      </c>
      <c r="B34" s="169"/>
      <c r="C34" s="97" t="s">
        <v>615</v>
      </c>
      <c r="D34" s="29"/>
      <c r="E34" s="18">
        <f>2.04*A12*12</f>
        <v>82575.93599999999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350</v>
      </c>
      <c r="D35" s="37"/>
      <c r="E35" s="8">
        <f>0.003*A12*12</f>
        <v>121.43520000000001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426079.052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25564.74312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8" t="s">
        <v>561</v>
      </c>
      <c r="B38" s="149"/>
      <c r="C38" s="117"/>
      <c r="D38" s="91"/>
      <c r="E38" s="19">
        <f>A12*11.27*12*0.01</f>
        <v>4561.91568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456205.7108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 t="s">
        <v>296</v>
      </c>
      <c r="E40" s="103">
        <f>E39/A12/12</f>
        <v>11.27034939128029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 t="s">
        <v>296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23">
    <mergeCell ref="A36:C36"/>
    <mergeCell ref="A37:C37"/>
    <mergeCell ref="A39:C39"/>
    <mergeCell ref="A34:B34"/>
    <mergeCell ref="A38:B38"/>
    <mergeCell ref="A30:C30"/>
    <mergeCell ref="A32:C32"/>
    <mergeCell ref="A26:C26"/>
    <mergeCell ref="A27:C27"/>
    <mergeCell ref="A28:C28"/>
    <mergeCell ref="A29:C29"/>
    <mergeCell ref="A22:C22"/>
    <mergeCell ref="A23:D23"/>
    <mergeCell ref="A24:C24"/>
    <mergeCell ref="A25:C25"/>
    <mergeCell ref="A17:C17"/>
    <mergeCell ref="A19:C19"/>
    <mergeCell ref="A20:C20"/>
    <mergeCell ref="A21:C21"/>
    <mergeCell ref="A6:E6"/>
    <mergeCell ref="A10:E10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8" sqref="A38: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5">
      <c r="C3" s="54" t="s">
        <v>278</v>
      </c>
      <c r="D3" s="69"/>
      <c r="E3" s="69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498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2670.9</v>
      </c>
      <c r="B12" s="58">
        <v>180.5</v>
      </c>
      <c r="C12" s="58">
        <v>433</v>
      </c>
      <c r="D12" s="58"/>
      <c r="E12" s="58">
        <v>1950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499</v>
      </c>
      <c r="C14" s="134" t="s">
        <v>500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501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35326.08900000001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192</v>
      </c>
      <c r="B20" s="122"/>
      <c r="C20" s="122"/>
      <c r="D20" s="43"/>
      <c r="E20" s="44">
        <f>0.205*5800*1.75*1.203*12</f>
        <v>30037.707000000002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193</v>
      </c>
      <c r="B21" s="136"/>
      <c r="C21" s="136"/>
      <c r="D21" s="20"/>
      <c r="E21" s="25">
        <f>0.025*A12*12</f>
        <v>801.2700000000001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194</v>
      </c>
      <c r="B22" s="136"/>
      <c r="C22" s="136"/>
      <c r="D22" s="20"/>
      <c r="E22" s="25">
        <f>0.01*A12*12</f>
        <v>320.50800000000004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195</v>
      </c>
      <c r="B23" s="136"/>
      <c r="C23" s="136"/>
      <c r="D23" s="137"/>
      <c r="E23" s="26">
        <f>0.13*A12*12</f>
        <v>4166.604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57524.4176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196</v>
      </c>
      <c r="B25" s="136"/>
      <c r="C25" s="136"/>
      <c r="D25" s="20"/>
      <c r="E25" s="25">
        <f>142*1.5*101.01</f>
        <v>21515.13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197</v>
      </c>
      <c r="B26" s="136"/>
      <c r="C26" s="136"/>
      <c r="D26" s="20"/>
      <c r="E26" s="25">
        <f>141*1.5*35.02</f>
        <v>7406.7300000000005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198</v>
      </c>
      <c r="B27" s="136"/>
      <c r="C27" s="136"/>
      <c r="D27" s="20"/>
      <c r="E27" s="26">
        <f>4700*2.89</f>
        <v>13583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502</v>
      </c>
      <c r="B28" s="136"/>
      <c r="C28" s="136"/>
      <c r="D28" s="20"/>
      <c r="E28" s="25">
        <f>0.002*A12*12</f>
        <v>64.1016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199</v>
      </c>
      <c r="B29" s="136"/>
      <c r="C29" s="136"/>
      <c r="D29" s="20"/>
      <c r="E29" s="25">
        <f>0.32*A12*12</f>
        <v>10256.256000000001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557</v>
      </c>
      <c r="B30" s="136"/>
      <c r="C30" s="136"/>
      <c r="D30" s="20"/>
      <c r="E30" s="26">
        <f>60*6.08+60*18.06*4</f>
        <v>4699.2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328</v>
      </c>
      <c r="B31" s="28" t="s">
        <v>327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154020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200</v>
      </c>
      <c r="D33" s="29"/>
      <c r="E33" s="18">
        <f>0.78*A12*12</f>
        <v>24999.624000000003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2" t="s">
        <v>490</v>
      </c>
      <c r="B34" s="143"/>
      <c r="C34" s="143"/>
      <c r="D34" s="29" t="s">
        <v>201</v>
      </c>
      <c r="E34" s="18">
        <f>2.04*A12*12</f>
        <v>65383.632000000005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503</v>
      </c>
      <c r="D35" s="37"/>
      <c r="E35" s="8">
        <f>0.003*A12*12</f>
        <v>96.1524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337349.91500000004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20240.9949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8" t="s">
        <v>561</v>
      </c>
      <c r="B38" s="149"/>
      <c r="C38" s="117"/>
      <c r="D38" s="91"/>
      <c r="E38" s="19">
        <f>A12*11.27*12*0.01</f>
        <v>3612.12516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361203.03506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/>
      <c r="E40" s="103">
        <f>E39/A12/12</f>
        <v>11.269704190223022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15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3" t="s">
        <v>343</v>
      </c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296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4:C34"/>
    <mergeCell ref="A36:C36"/>
    <mergeCell ref="A37:C37"/>
    <mergeCell ref="A39:C39"/>
    <mergeCell ref="A38:B3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4">
      <selection activeCell="A38" sqref="A38:E38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4" width="16.625" style="0" customWidth="1"/>
    <col min="5" max="16384" width="12.75390625" style="0" customWidth="1"/>
  </cols>
  <sheetData>
    <row r="1" spans="3:5" ht="12.75">
      <c r="C1" s="69" t="s">
        <v>310</v>
      </c>
      <c r="D1" s="69"/>
      <c r="E1" s="69"/>
    </row>
    <row r="2" spans="3:5" ht="12.75">
      <c r="C2" s="69" t="s">
        <v>408</v>
      </c>
      <c r="D2" s="69"/>
      <c r="E2" s="69"/>
    </row>
    <row r="3" spans="3:5" ht="15">
      <c r="C3" s="54" t="s">
        <v>278</v>
      </c>
      <c r="D3" s="69"/>
      <c r="E3" s="69"/>
    </row>
    <row r="6" spans="1:15" ht="22.5" customHeight="1">
      <c r="A6" s="170" t="s">
        <v>547</v>
      </c>
      <c r="B6" s="171"/>
      <c r="C6" s="171"/>
      <c r="D6" s="171"/>
      <c r="E6" s="17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296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492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29" t="s">
        <v>299</v>
      </c>
      <c r="B10" s="130"/>
      <c r="C10" s="130"/>
      <c r="D10" s="130"/>
      <c r="E10" s="131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7" t="s">
        <v>300</v>
      </c>
      <c r="B11" s="17" t="s">
        <v>301</v>
      </c>
      <c r="C11" s="17" t="s">
        <v>302</v>
      </c>
      <c r="D11" s="17" t="s">
        <v>303</v>
      </c>
      <c r="E11" s="17" t="s">
        <v>298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59" customFormat="1" ht="14.25">
      <c r="A12" s="57">
        <v>1611.4</v>
      </c>
      <c r="B12" s="58">
        <v>121</v>
      </c>
      <c r="C12" s="58">
        <v>607.7</v>
      </c>
      <c r="D12" s="58"/>
      <c r="E12" s="58">
        <v>1066.6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32" t="s">
        <v>304</v>
      </c>
      <c r="B14" s="9" t="s">
        <v>493</v>
      </c>
      <c r="C14" s="134" t="s">
        <v>494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33"/>
      <c r="B15" s="9" t="s">
        <v>495</v>
      </c>
      <c r="C15" s="123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24" t="s">
        <v>293</v>
      </c>
      <c r="B17" s="125"/>
      <c r="C17" s="125"/>
      <c r="D17" s="46"/>
      <c r="E17" s="47" t="s">
        <v>297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0" t="s">
        <v>294</v>
      </c>
      <c r="B18" s="41"/>
      <c r="C18" s="41"/>
      <c r="D18" s="42"/>
      <c r="E18" s="23">
        <f>E20+E21+E22+E23</f>
        <v>38207.1438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26" t="s">
        <v>305</v>
      </c>
      <c r="B19" s="120"/>
      <c r="C19" s="120"/>
      <c r="D19" s="45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21" t="s">
        <v>202</v>
      </c>
      <c r="B20" s="122"/>
      <c r="C20" s="122"/>
      <c r="D20" s="43"/>
      <c r="E20" s="44">
        <f>0.237*5800*1.75*1.203*12</f>
        <v>34726.519799999995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35" t="s">
        <v>203</v>
      </c>
      <c r="B21" s="136"/>
      <c r="C21" s="136"/>
      <c r="D21" s="20"/>
      <c r="E21" s="25">
        <f>0.04*A12*12</f>
        <v>773.472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35" t="s">
        <v>204</v>
      </c>
      <c r="B22" s="136"/>
      <c r="C22" s="136"/>
      <c r="D22" s="20"/>
      <c r="E22" s="25">
        <f>0.01*A12*12</f>
        <v>193.368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35" t="s">
        <v>205</v>
      </c>
      <c r="B23" s="136"/>
      <c r="C23" s="136"/>
      <c r="D23" s="137"/>
      <c r="E23" s="26">
        <f>0.13*A12*12</f>
        <v>2513.7840000000006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38" t="s">
        <v>295</v>
      </c>
      <c r="B24" s="139"/>
      <c r="C24" s="139"/>
      <c r="D24" s="20"/>
      <c r="E24" s="18">
        <f>E25+E26+E27+E28+E29+E30+E31</f>
        <v>34685.0696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35" t="s">
        <v>206</v>
      </c>
      <c r="B25" s="136"/>
      <c r="C25" s="136"/>
      <c r="D25" s="20"/>
      <c r="E25" s="25">
        <f>84*1.5*101.01</f>
        <v>12727.26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35" t="s">
        <v>207</v>
      </c>
      <c r="B26" s="136"/>
      <c r="C26" s="136"/>
      <c r="D26" s="20"/>
      <c r="E26" s="25">
        <f>84*1.5*38.06</f>
        <v>4795.56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35" t="s">
        <v>208</v>
      </c>
      <c r="B27" s="136"/>
      <c r="C27" s="136"/>
      <c r="D27" s="20"/>
      <c r="E27" s="26">
        <f>2700*2.89</f>
        <v>7803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35" t="s">
        <v>496</v>
      </c>
      <c r="B28" s="136"/>
      <c r="C28" s="136"/>
      <c r="D28" s="20"/>
      <c r="E28" s="25">
        <f>0.002*A12*12</f>
        <v>38.67360000000001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35" t="s">
        <v>209</v>
      </c>
      <c r="B29" s="136"/>
      <c r="C29" s="136"/>
      <c r="D29" s="20"/>
      <c r="E29" s="25">
        <f>0.32*A12*12</f>
        <v>6187.776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35" t="s">
        <v>210</v>
      </c>
      <c r="B30" s="136"/>
      <c r="C30" s="136"/>
      <c r="D30" s="20"/>
      <c r="E30" s="26">
        <f>40*6.08+40*18.06*4</f>
        <v>3132.7999999999997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7" t="s">
        <v>328</v>
      </c>
      <c r="B31" s="28" t="s">
        <v>327</v>
      </c>
      <c r="C31" s="28"/>
      <c r="D31" s="20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40" t="s">
        <v>311</v>
      </c>
      <c r="B32" s="141"/>
      <c r="C32" s="141"/>
      <c r="D32" s="29"/>
      <c r="E32" s="8">
        <v>76050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2" t="s">
        <v>324</v>
      </c>
      <c r="B33" s="53"/>
      <c r="C33" s="53" t="s">
        <v>211</v>
      </c>
      <c r="D33" s="29"/>
      <c r="E33" s="18">
        <f>0.78*A12*12</f>
        <v>15082.704000000002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2" t="s">
        <v>490</v>
      </c>
      <c r="B34" s="143"/>
      <c r="C34" s="143"/>
      <c r="D34" s="29" t="s">
        <v>212</v>
      </c>
      <c r="E34" s="18">
        <f>2.04*A12*12</f>
        <v>39447.072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5" t="s">
        <v>314</v>
      </c>
      <c r="B35" s="36"/>
      <c r="C35" s="36" t="s">
        <v>497</v>
      </c>
      <c r="D35" s="37"/>
      <c r="E35" s="8">
        <f>0.003*A12*12</f>
        <v>58.010400000000004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4" t="s">
        <v>315</v>
      </c>
      <c r="B36" s="145"/>
      <c r="C36" s="145"/>
      <c r="D36" s="29"/>
      <c r="E36" s="8">
        <f>E35+E34+E33+E32+E24+E18</f>
        <v>203529.9998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6" t="s">
        <v>385</v>
      </c>
      <c r="B37" s="147"/>
      <c r="C37" s="147"/>
      <c r="D37" s="29"/>
      <c r="E37" s="19">
        <f>E36*0.06</f>
        <v>12211.799987999999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48" t="s">
        <v>561</v>
      </c>
      <c r="B38" s="149"/>
      <c r="C38" s="117"/>
      <c r="D38" s="91"/>
      <c r="E38" s="19">
        <f>A12*11.27*12*0.01</f>
        <v>2179.2573599999996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44" t="s">
        <v>316</v>
      </c>
      <c r="B39" s="145"/>
      <c r="C39" s="145"/>
      <c r="D39" s="29"/>
      <c r="E39" s="8">
        <f>SUM(E36:E38)</f>
        <v>217921.057148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307</v>
      </c>
      <c r="B40" s="38"/>
      <c r="C40" s="39"/>
      <c r="D40" s="8"/>
      <c r="E40" s="103">
        <f>E39/A12/12</f>
        <v>11.269758033800834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0"/>
      <c r="B41" s="11"/>
      <c r="C41" s="12"/>
      <c r="D41" s="12"/>
      <c r="E41" s="115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0"/>
      <c r="B42" s="1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4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4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3" t="s">
        <v>343</v>
      </c>
      <c r="B45" s="14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296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3">
    <mergeCell ref="A6:E6"/>
    <mergeCell ref="A10:E10"/>
    <mergeCell ref="A14:A15"/>
    <mergeCell ref="C14:C15"/>
    <mergeCell ref="A17:C17"/>
    <mergeCell ref="A19:C19"/>
    <mergeCell ref="A20:C20"/>
    <mergeCell ref="A21:C21"/>
    <mergeCell ref="A22:C22"/>
    <mergeCell ref="A23:D23"/>
    <mergeCell ref="A24:C24"/>
    <mergeCell ref="A25:C25"/>
    <mergeCell ref="A30:C30"/>
    <mergeCell ref="A32:C32"/>
    <mergeCell ref="A26:C26"/>
    <mergeCell ref="A27:C27"/>
    <mergeCell ref="A28:C28"/>
    <mergeCell ref="A29:C29"/>
    <mergeCell ref="A34:C34"/>
    <mergeCell ref="A36:C36"/>
    <mergeCell ref="A37:C37"/>
    <mergeCell ref="A39:C39"/>
    <mergeCell ref="A38:B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2013-05-06T08:15:27Z</cp:lastPrinted>
  <dcterms:created xsi:type="dcterms:W3CDTF">2010-10-12T06:05:29Z</dcterms:created>
  <dcterms:modified xsi:type="dcterms:W3CDTF">2013-05-07T05:55:26Z</dcterms:modified>
  <cp:category/>
  <cp:version/>
  <cp:contentType/>
  <cp:contentStatus/>
</cp:coreProperties>
</file>