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390" tabRatio="691" firstSheet="28" activeTab="41"/>
  </bookViews>
  <sheets>
    <sheet name="мол4к1" sheetId="1" r:id="rId1"/>
    <sheet name="5к1" sheetId="2" r:id="rId2"/>
    <sheet name="Мол.11к2" sheetId="3" r:id="rId3"/>
    <sheet name="луг1" sheetId="4" r:id="rId4"/>
    <sheet name="луг1ж" sheetId="5" r:id="rId5"/>
    <sheet name="Луг3" sheetId="6" r:id="rId6"/>
    <sheet name="Станк.2к1" sheetId="7" r:id="rId7"/>
    <sheet name="Ст5,1" sheetId="8" r:id="rId8"/>
    <sheet name="СТ.6" sheetId="9" r:id="rId9"/>
    <sheet name="ст.8" sheetId="10" r:id="rId10"/>
    <sheet name="станк.14к1" sheetId="11" r:id="rId11"/>
    <sheet name="1Кр.16" sheetId="12" r:id="rId12"/>
    <sheet name="1кр.18б" sheetId="13" r:id="rId13"/>
    <sheet name="1кр.18а" sheetId="14" r:id="rId14"/>
    <sheet name="1кр.23" sheetId="15" r:id="rId15"/>
    <sheet name="28" sheetId="16" r:id="rId16"/>
    <sheet name="28к1" sheetId="17" r:id="rId17"/>
    <sheet name="28к2" sheetId="18" r:id="rId18"/>
    <sheet name="2Кр.13" sheetId="19" r:id="rId19"/>
    <sheet name="косм.7" sheetId="20" r:id="rId20"/>
    <sheet name="К.М.6" sheetId="21" r:id="rId21"/>
    <sheet name="бронная 22" sheetId="22" r:id="rId22"/>
    <sheet name="Окт.1" sheetId="23" r:id="rId23"/>
    <sheet name="окт.4" sheetId="24" r:id="rId24"/>
    <sheet name="окт.12,14" sheetId="25" r:id="rId25"/>
    <sheet name="окт.18" sheetId="26" r:id="rId26"/>
    <sheet name="Мол.21к1" sheetId="27" r:id="rId27"/>
    <sheet name="Мол21к2" sheetId="28" r:id="rId28"/>
    <sheet name="Старореченская 15к1" sheetId="29" r:id="rId29"/>
    <sheet name="15к3" sheetId="30" r:id="rId30"/>
    <sheet name="32а" sheetId="31" r:id="rId31"/>
    <sheet name="32б" sheetId="32" r:id="rId32"/>
    <sheet name="56" sheetId="33" r:id="rId33"/>
    <sheet name="2к1" sheetId="34" r:id="rId34"/>
    <sheet name="2к2" sheetId="35" r:id="rId35"/>
    <sheet name="энг6" sheetId="36" r:id="rId36"/>
    <sheet name="23,9" sheetId="37" r:id="rId37"/>
    <sheet name="маг.2" sheetId="38" r:id="rId38"/>
    <sheet name="маг.2к1" sheetId="39" r:id="rId39"/>
    <sheet name="маг.3" sheetId="40" r:id="rId40"/>
    <sheet name="маг.8" sheetId="41" r:id="rId41"/>
    <sheet name="Лист2" sheetId="42" r:id="rId42"/>
  </sheets>
  <definedNames/>
  <calcPr fullCalcOnLoad="1"/>
</workbook>
</file>

<file path=xl/sharedStrings.xml><?xml version="1.0" encoding="utf-8"?>
<sst xmlns="http://schemas.openxmlformats.org/spreadsheetml/2006/main" count="1903" uniqueCount="768">
  <si>
    <t>1.4.Вывоз и утилизация крупногабаритного мусора   0,1*2571,2*12</t>
  </si>
  <si>
    <t>2.1.Сбор и вывоз ТБО 146чел.*1,5м3*90,3</t>
  </si>
  <si>
    <t>2.2 Захоронение  ТБО   146чел.*1,5м3*35,02</t>
  </si>
  <si>
    <t>2.3. Электроэнергия МОП    4900кВТ*2,73</t>
  </si>
  <si>
    <t>0,9*2571,2*12</t>
  </si>
  <si>
    <t>1,24*2571,2*12</t>
  </si>
  <si>
    <t>ул.Магистральная ,дом 2</t>
  </si>
  <si>
    <t>782/3080=0,25</t>
  </si>
  <si>
    <t>0,368ед.</t>
  </si>
  <si>
    <t>3533/30000=0,118</t>
  </si>
  <si>
    <t>1.2Приобретение спецодежды и инвентаря 0,025*3223,3*12</t>
  </si>
  <si>
    <t>1.3.Приобретение песко-соляной смеси 0,028*3223,3*12</t>
  </si>
  <si>
    <t>1.4.Вывоз и утилизация крупногабаритного мусора   0,09*3223,3*12</t>
  </si>
  <si>
    <t>2.4.Дезинсекция контейнеров 0,002*3223,3*12</t>
  </si>
  <si>
    <t>2.5.Аварийная служба 0,29*3223,3*12</t>
  </si>
  <si>
    <t>0,003*3223,3*12</t>
  </si>
  <si>
    <t>а)Дворник   0,368*5800+75%+26,3%*12</t>
  </si>
  <si>
    <t>2.1.Сбор и вывоз ТБО   155чел.*1,5м3*90,3</t>
  </si>
  <si>
    <t>2.2 Захоронение  ТБО   155чел.*1,5м3*35,02</t>
  </si>
  <si>
    <t>2.3. Электроэнергия МОП   8200кВТ*2,73</t>
  </si>
  <si>
    <t>0,9*3223,3*12</t>
  </si>
  <si>
    <r>
      <t xml:space="preserve">5.Общеэксплуатационные расходы   </t>
    </r>
    <r>
      <rPr>
        <sz val="9"/>
        <rFont val="Arial Cyr"/>
        <family val="0"/>
      </rPr>
      <t>1,24*3223,3*12</t>
    </r>
  </si>
  <si>
    <t>ул.Магистральная ,дом 3</t>
  </si>
  <si>
    <t>531/3080=0,17</t>
  </si>
  <si>
    <t>0,1872ед.</t>
  </si>
  <si>
    <t>516/30000=0,0172</t>
  </si>
  <si>
    <t>ул.Магистральная ,дом 2к1</t>
  </si>
  <si>
    <t>955,2/3080=0,31</t>
  </si>
  <si>
    <t>0,397ед.</t>
  </si>
  <si>
    <t>2598,2/30000=0,087</t>
  </si>
  <si>
    <t>1.3.Приобретение песко-соляной смеси 0,028*2362,51*12</t>
  </si>
  <si>
    <t>2.4.Дезинсекция контейнеров 0,002*2362,5*12</t>
  </si>
  <si>
    <t>2.5.Аварийная служба 0,29*2362,5*12</t>
  </si>
  <si>
    <t>0,003*2362,5*12</t>
  </si>
  <si>
    <t>а)Дворник   0,397*5800+75%+26,3%*12</t>
  </si>
  <si>
    <t>1.2Приобретение спецодежды и инвентаря 0,04*2362,5*12</t>
  </si>
  <si>
    <t>1.4.Вывоз и утилизация крупногабаритного мусора   0,1*2362,5*12</t>
  </si>
  <si>
    <t>2.1.Сбор и вывоз ТБО 97чел.*1,5м3*90,3</t>
  </si>
  <si>
    <t>2.2 Захоронение  ТБО    97чел* 1,5м3*35,02</t>
  </si>
  <si>
    <t>2.3. Электроэнергия МОП   7400кВТ*2,73</t>
  </si>
  <si>
    <t>2.5. Дератизация подвала  1,44*750</t>
  </si>
  <si>
    <t>2.6.ТО вентканалов   45шт*5,44</t>
  </si>
  <si>
    <t>0,9*2362,5*12</t>
  </si>
  <si>
    <r>
      <t xml:space="preserve">5.Общеэксплуатационные расходы   </t>
    </r>
    <r>
      <rPr>
        <sz val="9"/>
        <rFont val="Arial Cyr"/>
        <family val="0"/>
      </rPr>
      <t>1,24*2362,5*12</t>
    </r>
  </si>
  <si>
    <t>а)Дворник   0,1872*5800+75%+26,3%*12</t>
  </si>
  <si>
    <t>2.1.Сбор и вывоз ТБО   132чел.*1,5м3*90,3</t>
  </si>
  <si>
    <t>2.2 Захоронение  ТБО    132чел.*1,5м3*35,02</t>
  </si>
  <si>
    <t>2.3. Электроэнергия МОП   8300кВТ*2,73</t>
  </si>
  <si>
    <t>1.2Приобретение спецодежды и инвентаря 0,04*3286,1*12</t>
  </si>
  <si>
    <t>1.3.Приобретение песко-соляной смеси 0,028*3286,1*12</t>
  </si>
  <si>
    <t>1.4.Вывоз и утилизация крупногабаритного мусора   0,1*3290,2*12</t>
  </si>
  <si>
    <t>2.4.Дезинсекция контейнеров 0,002*3286,1*12</t>
  </si>
  <si>
    <t>2.5.Аварийная служба 0,29*3286,1*12</t>
  </si>
  <si>
    <t>0,9*3286,1*12</t>
  </si>
  <si>
    <r>
      <t xml:space="preserve">5.Общеэксплуатационные расходы   </t>
    </r>
    <r>
      <rPr>
        <sz val="9"/>
        <rFont val="Arial Cyr"/>
        <family val="0"/>
      </rPr>
      <t>1,24*3286,1*12</t>
    </r>
  </si>
  <si>
    <t>0,003*3286,1*12</t>
  </si>
  <si>
    <t>ул.Магистральная ,дом 8</t>
  </si>
  <si>
    <t>691/3080=0,22</t>
  </si>
  <si>
    <t>0,298ед.</t>
  </si>
  <si>
    <t>2356/30000=0,078</t>
  </si>
  <si>
    <t>1.3.Приобретение песко-соляной смеси 0,028*3216,3*12</t>
  </si>
  <si>
    <t>2.4.Дезинсекция контейнеров 0,002*3216,3*12</t>
  </si>
  <si>
    <t>2.5.Аварийная служба 0,29*3216,3*12</t>
  </si>
  <si>
    <t>0,003*3216,3*12</t>
  </si>
  <si>
    <t>1.2Приобретение спецодежды и инвентаря 0,04*3216,3*12</t>
  </si>
  <si>
    <t>1.4.Вывоз и утилизация крупногабаритного мусора   0,1*3216,3*12</t>
  </si>
  <si>
    <t>а)Дворник   0,298*5800+75%+26,3%*12</t>
  </si>
  <si>
    <t>2.1.Сбор и вывоз ТБО   161чел.*1,5м3*90,3</t>
  </si>
  <si>
    <t>2.2 Захоронение  ТБО    161чел*1,5м3*35,02</t>
  </si>
  <si>
    <t>2.3. Электроэнергия МОП   6800кВТ*2,73</t>
  </si>
  <si>
    <t>0,9*3216,3*12</t>
  </si>
  <si>
    <r>
      <t xml:space="preserve">5.Общеэксплуатационные расходы   </t>
    </r>
    <r>
      <rPr>
        <sz val="9"/>
        <rFont val="Arial Cyr"/>
        <family val="0"/>
      </rPr>
      <t>1,24*3216,3*12</t>
    </r>
  </si>
  <si>
    <t>а)Дворник   0,5*5800+75%+26,3%*12</t>
  </si>
  <si>
    <t>Директор   " ООО ЖЭУ-6"</t>
  </si>
  <si>
    <t>________________________Хабаров М.А.</t>
  </si>
  <si>
    <t>80кв.*120</t>
  </si>
  <si>
    <t>ул.1-ая Краснкая, дом 18Б</t>
  </si>
  <si>
    <t>355,0/3080=0,115</t>
  </si>
  <si>
    <t>320,5/30000=0,01</t>
  </si>
  <si>
    <t>0,125ед.</t>
  </si>
  <si>
    <t>1.2Приобретение спецодежды и инвентаря 0,04*628,1*12</t>
  </si>
  <si>
    <t>1.3.Приобретение песко-соляной смеси 0,028*628,1*12</t>
  </si>
  <si>
    <t>1.4.Вывоз и утилизация крупногабаритного мусора   0,1*628,1*12</t>
  </si>
  <si>
    <t>2.1.Сбор и вывоз ТБО   36чел.*1,5/12=4,5*90,3*12</t>
  </si>
  <si>
    <t>2.2 Захоронение  ТБО     4,5м3*35,02*12</t>
  </si>
  <si>
    <t>2.3. Электроэнергия МОП    1580кВТ*2,73</t>
  </si>
  <si>
    <t>2.4.Дезинсекция контейнеров 0,002*628,1*12</t>
  </si>
  <si>
    <t>2.5. Дератизация подвала  0,1*436,3*12</t>
  </si>
  <si>
    <t>2.6.Аварийная служба 0,29*628,1*12</t>
  </si>
  <si>
    <t>2.7.ТО вентканалов  16шт*5,44+(16шт*16,17*4)</t>
  </si>
  <si>
    <t>16кв.*120</t>
  </si>
  <si>
    <t>0,9*628,1*12</t>
  </si>
  <si>
    <t xml:space="preserve">5.Общеэксплуатационные(управленческие)расходы                              </t>
  </si>
  <si>
    <t xml:space="preserve">6.Внеэксплуатационные расходы  </t>
  </si>
  <si>
    <t>0,003*682,1*12</t>
  </si>
  <si>
    <t>а)Дворник   0,125*5800+75%+26,3%*12</t>
  </si>
  <si>
    <t>Начисления на з/плату 26,2%</t>
  </si>
  <si>
    <t>Обслуживаемая площадь 302321,1м2</t>
  </si>
  <si>
    <t>1,24*628,1*12</t>
  </si>
  <si>
    <t>4510469руб./302321,1м2/12мес.=1,24руб./м2 в месяц</t>
  </si>
  <si>
    <t>а)Дворник   0,29*5800+75%+26,2%*12</t>
  </si>
  <si>
    <t>2.1.Сбор и вывоз ТБО   95чел.*1,5/12=11,875*90,3*12</t>
  </si>
  <si>
    <t>2.2 Захоронение  ТБО     11,875м3*35,02*12</t>
  </si>
  <si>
    <t>2.3. Электроэнергия МОП    5900кВТ*2,73</t>
  </si>
  <si>
    <t>2.7.ТО вентканалов  40шт*5,44+(40шт*16,17)*4</t>
  </si>
  <si>
    <t>0,9*2351,2*12</t>
  </si>
  <si>
    <t>1,24*2351,2*12</t>
  </si>
  <si>
    <t>а)Дворник   0,48*5800+75%+26,3%*12</t>
  </si>
  <si>
    <t>0,9*3174,4*12</t>
  </si>
  <si>
    <t>1,24*3174,4*12</t>
  </si>
  <si>
    <t>а)Дворник   0,47*5800+75%+26,3%*12</t>
  </si>
  <si>
    <t>2.3. Электроэнергия МОП    18400кВТ*2,73</t>
  </si>
  <si>
    <t>2.4.Дезинсекция,дизенсекция 0,002*3174,4*12</t>
  </si>
  <si>
    <t>2.7.ТО вентканалов  60шт*5,44</t>
  </si>
  <si>
    <t>2этажа,1подъезда</t>
  </si>
  <si>
    <t>2.6.ТО вентканалов  и дымоходов  8шт*5,44+(8шт*16,17)*4</t>
  </si>
  <si>
    <t>ул.1-ая Красная, дом 23</t>
  </si>
  <si>
    <t>304/3080=0,1</t>
  </si>
  <si>
    <t>761/30000=0,025</t>
  </si>
  <si>
    <t>2.4.Дезинсекция,дизенсекция  0,002*288,5*12</t>
  </si>
  <si>
    <t>2.5.Аварийная служба 0,29*288,5*12</t>
  </si>
  <si>
    <t>0,9*288,5*12</t>
  </si>
  <si>
    <t>1,24*288,5*12</t>
  </si>
  <si>
    <t>0,003*288,5*12</t>
  </si>
  <si>
    <t>Наименование статей</t>
  </si>
  <si>
    <t>1.Благоустройство и санитарная очистка домовладений</t>
  </si>
  <si>
    <t>2.Содержание домохозяйства</t>
  </si>
  <si>
    <t xml:space="preserve"> </t>
  </si>
  <si>
    <t>руб.</t>
  </si>
  <si>
    <t>Газон</t>
  </si>
  <si>
    <t>Смета доходов и расходов на 2010год</t>
  </si>
  <si>
    <t>Площадь,м2</t>
  </si>
  <si>
    <t>Дома</t>
  </si>
  <si>
    <t>Лестничных клеток</t>
  </si>
  <si>
    <t>Асф. дворовый</t>
  </si>
  <si>
    <t>Асф.ульчный</t>
  </si>
  <si>
    <t>Дворник</t>
  </si>
  <si>
    <t>1.1.Зарплата дворника</t>
  </si>
  <si>
    <t>Всего:расходов</t>
  </si>
  <si>
    <t>Тариф на содержание жилья для населения составляет:</t>
  </si>
  <si>
    <t>2.7. ТО ВДГО</t>
  </si>
  <si>
    <t xml:space="preserve">Управленческие расходы </t>
  </si>
  <si>
    <t>УТВЕРЖДАЮ</t>
  </si>
  <si>
    <t>3.Текущий ремонт</t>
  </si>
  <si>
    <t xml:space="preserve">4.Прочие  расходы </t>
  </si>
  <si>
    <t xml:space="preserve">5.Общеэксплуатационные расходы </t>
  </si>
  <si>
    <t xml:space="preserve">7.Внеэксплуатационные расходы  </t>
  </si>
  <si>
    <t>8.Себестоимость  оказанных  услуг</t>
  </si>
  <si>
    <t>9.Рентабельность 6%</t>
  </si>
  <si>
    <t>Всего: расходов</t>
  </si>
  <si>
    <t>0,48ед.</t>
  </si>
  <si>
    <t>831,7/3080=0,27</t>
  </si>
  <si>
    <t>375/2500=0,15</t>
  </si>
  <si>
    <t>2278,2/30000=0,06</t>
  </si>
  <si>
    <t>Смета доходов и расходов на 2011год</t>
  </si>
  <si>
    <t>1.2Приобретение спецодежды и инвентаря 0,028*3033,4*12</t>
  </si>
  <si>
    <t>2.4.Дезинсекция контейнеров 0,002*3033,4*12</t>
  </si>
  <si>
    <t>2.5.Аварийная служба 0,29*3033,4*12</t>
  </si>
  <si>
    <t>0,003*3033,4*12</t>
  </si>
  <si>
    <t xml:space="preserve">4.Общецеховые  расходы </t>
  </si>
  <si>
    <t xml:space="preserve">                   от всех расходов</t>
  </si>
  <si>
    <t>2.4.Дезинсекция контейнеров 0,002*2661,0*12</t>
  </si>
  <si>
    <t>нет</t>
  </si>
  <si>
    <t>2.8. ТО ВДГО</t>
  </si>
  <si>
    <t xml:space="preserve">6.Общеэксплуатационные(управленческие)расходы                              </t>
  </si>
  <si>
    <t>ул.Станкозаводская, дом 8</t>
  </si>
  <si>
    <t>763,9/3080=0,25</t>
  </si>
  <si>
    <t>1123,3/30000=0,04</t>
  </si>
  <si>
    <t>0,29ед.</t>
  </si>
  <si>
    <t>1.2Приобретение спецодежды и инвентаря 0,04*2351,2*12</t>
  </si>
  <si>
    <t>1.4.Вывоз и утилизация крупногабаритного мусора   0,1*2351,2*12</t>
  </si>
  <si>
    <t>2.5. Дератизация подвала  0,1*832,0*12</t>
  </si>
  <si>
    <t>1.3.Приобретение песко-соляной смеси 0,028*2351,2*12</t>
  </si>
  <si>
    <t>2.6.Аварийная служба 0,29*2351,2,*12</t>
  </si>
  <si>
    <t>0,003*2351,2*12</t>
  </si>
  <si>
    <t>2.6.Аварийная служба 0,29*3174,4*12</t>
  </si>
  <si>
    <t>0,003*3174,4*12</t>
  </si>
  <si>
    <t>1079,6/3080=0,35</t>
  </si>
  <si>
    <t>3603,4/30000=0,12</t>
  </si>
  <si>
    <t>0,47ед.</t>
  </si>
  <si>
    <t>ул.Молодцова , дом 11корп.2</t>
  </si>
  <si>
    <t>№№</t>
  </si>
  <si>
    <t>2011год</t>
  </si>
  <si>
    <t>Директор    " ООО ЖЭУ-6"</t>
  </si>
  <si>
    <t>11,5%</t>
  </si>
  <si>
    <t>Уполномоченный представитель собственников</t>
  </si>
  <si>
    <t>СОГЛАСОВАННО:</t>
  </si>
  <si>
    <t>за месяц,</t>
  </si>
  <si>
    <t>ИТОГО:</t>
  </si>
  <si>
    <t>ООО "ЖЭУ-6"</t>
  </si>
  <si>
    <t>Содержание управленческих расходов</t>
  </si>
  <si>
    <t>Коммунальные услуги</t>
  </si>
  <si>
    <t>Канцелярские товары</t>
  </si>
  <si>
    <t>Услуги связи</t>
  </si>
  <si>
    <t>Обслуживание ККМ,</t>
  </si>
  <si>
    <t>Почтово-телеграфные расходы</t>
  </si>
  <si>
    <t xml:space="preserve">Расходы на содержиние вычислительной техники, </t>
  </si>
  <si>
    <t>Услуги по сбору и обработке платежей КВЦ</t>
  </si>
  <si>
    <t>Содержание паспортного стола</t>
  </si>
  <si>
    <t>Затраты на возмещение задолжности от населения</t>
  </si>
  <si>
    <t>Програмное обеспечение</t>
  </si>
  <si>
    <t>Уборка служебных помещений</t>
  </si>
  <si>
    <t>Аренда и страхование  движемого и недвижемого имущества</t>
  </si>
  <si>
    <t>Заработная плата АУП(14)</t>
  </si>
  <si>
    <t>РАСЧЁТ</t>
  </si>
  <si>
    <t>стоимости на 1кв.метр обслуживаемой площади</t>
  </si>
  <si>
    <t>Экономист ООО "ЖЭУ-6"   ___________________О.В.Кучинова</t>
  </si>
  <si>
    <t>Обучение сотрудников,атестация рабочих мест</t>
  </si>
  <si>
    <t>Статья затрат</t>
  </si>
  <si>
    <t>ул.Луговая,дом 3</t>
  </si>
  <si>
    <t>822,4/3080=0,27</t>
  </si>
  <si>
    <t>1428,8/30000=0,05</t>
  </si>
  <si>
    <t>0,32ед.</t>
  </si>
  <si>
    <t>2.4.Дезинсекция контейнеров 0,002*3373,2*12</t>
  </si>
  <si>
    <t>2.5.Аварийная служба 0,29*3373,2*12</t>
  </si>
  <si>
    <t>0,003*3373,2*12</t>
  </si>
  <si>
    <t>ул.Карла Маркса,дом 6</t>
  </si>
  <si>
    <t>1219,0/3080=0,40</t>
  </si>
  <si>
    <t>2756,4/30000=0,1</t>
  </si>
  <si>
    <t>0,5ед.</t>
  </si>
  <si>
    <t>1.2Приобретение спецодежды и инвентаря 0,028*3579,9*12</t>
  </si>
  <si>
    <t>2.4.Дезинсекция контейнеров 0,002*3579,9*12</t>
  </si>
  <si>
    <t>2.5.Аварийная служба 0,29*3579,9*12</t>
  </si>
  <si>
    <t>0,003*3579,9*12</t>
  </si>
  <si>
    <t>а)Дворник   0,32*5800+75%+26,3%*12</t>
  </si>
  <si>
    <t>1.3.Приобретение песко-соляной смеси 0,014*3174,4*12</t>
  </si>
  <si>
    <t>1.2Приобретение спецодежды и инвентаря 0,028*3174,4*12</t>
  </si>
  <si>
    <t>1.4.Вывоз и утилизация крупногабаритного мусора  0,0328*3174,4*12</t>
  </si>
  <si>
    <t>2.1.Сбор и вывоз ТБО   150чел.*1,5=225*90,3</t>
  </si>
  <si>
    <t>2.2 Захоронение  ТБО     225м3*35,02</t>
  </si>
  <si>
    <t>2.1.Сбор и вывоз ТБО   158чел.*1,5=237*90,3</t>
  </si>
  <si>
    <t>2.2 Захоронение  ТБО     237м3*35,02</t>
  </si>
  <si>
    <t>2.3. Электроэнергия МОП   7300кВТ*2,73</t>
  </si>
  <si>
    <t>2.6.ТО вентканалов  и дымоходов  70шт*5,44+(70шт*16,17*4)</t>
  </si>
  <si>
    <t>70кв.*120</t>
  </si>
  <si>
    <t>0,9*3373,2*12</t>
  </si>
  <si>
    <t xml:space="preserve">5.Общеэксплуатационные расходы              </t>
  </si>
  <si>
    <t>1,24*3373,2*12</t>
  </si>
  <si>
    <t>1.3.Приобретение песко-соляной смеси 0,014*3033,4*12</t>
  </si>
  <si>
    <t>1.4.Вывоз и утилизация крупногабаритного мусора   0,0328*3033,4*12</t>
  </si>
  <si>
    <t>2.1.Сбор и вывоз ТБО   138чел.*1,5=207*90,3</t>
  </si>
  <si>
    <t>2.2 Захоронение  ТБО     207м3*35,02</t>
  </si>
  <si>
    <t>2.3. Электроэнергия МОП   7600кВТ*2,73</t>
  </si>
  <si>
    <t>48кв.*120</t>
  </si>
  <si>
    <t>0,9*3033,4*12</t>
  </si>
  <si>
    <t>1.3.Приобретение песко-соляной смеси 0,014*3579,9*12</t>
  </si>
  <si>
    <t>1.4.Вывоз и утилизация крупногабаритного мусора   0,0328*3579,9*12</t>
  </si>
  <si>
    <t>2.1.Сбор и вывоз ТБО   170чел.*1,5=255*90,3</t>
  </si>
  <si>
    <t>2.2 Захоронение  ТБО     255м3*35,02</t>
  </si>
  <si>
    <t>2.3. Электроэнергия МОП   4600кВТ*2,73</t>
  </si>
  <si>
    <t>2.6.ТО вентканалов   80шт*5,44+(80шт*16,17)</t>
  </si>
  <si>
    <t>0,9*3579,9*12</t>
  </si>
  <si>
    <r>
      <t xml:space="preserve">6.Управленческие расходы                              </t>
    </r>
    <r>
      <rPr>
        <sz val="9"/>
        <rFont val="Arial Cyr"/>
        <family val="0"/>
      </rPr>
      <t>1,24*3579,9*12</t>
    </r>
  </si>
  <si>
    <t>400/3080=0,13</t>
  </si>
  <si>
    <t>1500/30000=0,05</t>
  </si>
  <si>
    <t>а)Дворник   0,18*5800+75%+26,3%*12</t>
  </si>
  <si>
    <t>1.2Приобретение спецодежды и инвентаря 0,028*2044,0*12</t>
  </si>
  <si>
    <t>1.3.Приобретение песко-соляной смеси 0,014*2044,0*12</t>
  </si>
  <si>
    <t>1.4.Вывоз и утилизация крупногабаритного мусора   0,0328*2044,0*12</t>
  </si>
  <si>
    <t>2.1.Сбор и вывоз ТБО   90чел.*1,5=135*90,3</t>
  </si>
  <si>
    <t>2.3. Электроэнергия МОП   4400кВТ*2,73</t>
  </si>
  <si>
    <t>2.4.Дезинсекция контейнеров 0,002*2044,0*12</t>
  </si>
  <si>
    <t>2.5.Аварийная служба 0,29*2044,0*12</t>
  </si>
  <si>
    <t>0,9*2044,0*12</t>
  </si>
  <si>
    <t>0,003*2044,0*12</t>
  </si>
  <si>
    <t>2.6.ТО вентканалов   48шт*5,44+(48шт*16,17)*4</t>
  </si>
  <si>
    <t>ул.Космонавтов ,дом 7</t>
  </si>
  <si>
    <t>981,1/3080=0,32</t>
  </si>
  <si>
    <t>2943,7/30000=0,1</t>
  </si>
  <si>
    <t>0,42ед.</t>
  </si>
  <si>
    <t>а)Дворник   0,42*5800+75%+26,3%*12</t>
  </si>
  <si>
    <t>60кв.*120</t>
  </si>
  <si>
    <t>1.2Приобретение спецодежды и инвентаря 0,028*2715,6*12</t>
  </si>
  <si>
    <t>1.3.Приобретение песко-соляной смеси 0,014*2715,6*12</t>
  </si>
  <si>
    <t>1.4.Вывоз и утилизация крупногабаритного мусора   0,0328*2715,6*12</t>
  </si>
  <si>
    <t>2.1.Сбор и вывоз ТБО   140чел.*1,5=210*90,3</t>
  </si>
  <si>
    <t>2.2 Захоронение  ТБО     210м3*35,02</t>
  </si>
  <si>
    <t>2.4.Дезинсекция контейнеров 0,002*2715,6*12</t>
  </si>
  <si>
    <r>
      <t xml:space="preserve">5.Общеэксплуатационные расходы   </t>
    </r>
    <r>
      <rPr>
        <sz val="9"/>
        <rFont val="Arial Cyr"/>
        <family val="0"/>
      </rPr>
      <t xml:space="preserve">      1,24*2044,0*12</t>
    </r>
  </si>
  <si>
    <t>7.Себестоимость  оказанных  услуг</t>
  </si>
  <si>
    <t>8.Рентабельность 6%</t>
  </si>
  <si>
    <t>ул.Бронная ,дом 22</t>
  </si>
  <si>
    <t>0,18ед.</t>
  </si>
  <si>
    <t>2.2 Захоронение  ТБО   135*м3*35,02</t>
  </si>
  <si>
    <t>1067,3/3080=0,347</t>
  </si>
  <si>
    <t>2723,2/30000=0,09</t>
  </si>
  <si>
    <t>0,438ед.</t>
  </si>
  <si>
    <t>а)Дворник   0,438*5800+75%+26,3%*12</t>
  </si>
  <si>
    <t>1.2Приобретение спецодежды и инвентаря 0,04*2864,5*12</t>
  </si>
  <si>
    <t>1.3.Приобретение песко-соляной смеси 0,028*2864,5*12</t>
  </si>
  <si>
    <t>1.4.Вывоз и утилизация крупногабаритного мусора   0,1*2864,5*12</t>
  </si>
  <si>
    <t>2.1.Сбор и вывоз ТБО   220чел.*1,5=330*90,3</t>
  </si>
  <si>
    <t>2.2 Захоронение  ТБО     330м3*35,02</t>
  </si>
  <si>
    <t>2.3. Электроэнергия МОП   19600кВТ*2,73</t>
  </si>
  <si>
    <t>2.4.Дезинсекция контейнеров 0,002*2864,5*12</t>
  </si>
  <si>
    <t>2.5. Дератизация подвала  0,12*489,4*12</t>
  </si>
  <si>
    <t>2.6.Аварийная служба 0,29*2864,5*12</t>
  </si>
  <si>
    <t>13*120</t>
  </si>
  <si>
    <t>0,9*2864,5*12</t>
  </si>
  <si>
    <r>
      <t xml:space="preserve">5.Общеэксплуатационные расходы   </t>
    </r>
    <r>
      <rPr>
        <sz val="9"/>
        <rFont val="Arial Cyr"/>
        <family val="0"/>
      </rPr>
      <t>1,24*2864,5*12</t>
    </r>
  </si>
  <si>
    <t>0,003*2864,5*12</t>
  </si>
  <si>
    <t>_____________________Анашкина Н.В.</t>
  </si>
  <si>
    <t>ул.Старореченкая,дом 15корп.1</t>
  </si>
  <si>
    <t>3подъезда,5этажей</t>
  </si>
  <si>
    <t>ул.Старореченкая,дом 32А</t>
  </si>
  <si>
    <t>1131,0/3080=0,367</t>
  </si>
  <si>
    <t>2840,0/30000=0,095</t>
  </si>
  <si>
    <t>0,462ед.</t>
  </si>
  <si>
    <t>а)Дворник   0,462*5800+75%+26,3%*12</t>
  </si>
  <si>
    <t>100*120</t>
  </si>
  <si>
    <t>1.2Приобретение спецодежды и инвентаря 0,04*4551,9*12</t>
  </si>
  <si>
    <t>1.3.Приобретение песко-соляной смеси 0,028*4551,9*12</t>
  </si>
  <si>
    <t>1.4.Вывоз и утилизация крупногабаритного мусора   0,1*4551,9*12</t>
  </si>
  <si>
    <t>2.3. Электроэнергия МОП   11000кВТ*2,73</t>
  </si>
  <si>
    <t>ул.Старореченкая,дом 32Б</t>
  </si>
  <si>
    <t>6подъезда,5этажей</t>
  </si>
  <si>
    <t>2.4.Дезинсекция контейнеров 0,002*4551,9*12</t>
  </si>
  <si>
    <t>2.5. Дератизация подвала  0,12*1100*12</t>
  </si>
  <si>
    <t>2.6.Аварийная служба 0,29*4551,9*12</t>
  </si>
  <si>
    <t>0,9*4551,9*12</t>
  </si>
  <si>
    <r>
      <t xml:space="preserve">5.Общеэксплуатационные расходы   </t>
    </r>
    <r>
      <rPr>
        <sz val="9"/>
        <rFont val="Arial Cyr"/>
        <family val="0"/>
      </rPr>
      <t>1,24*4551,9*12</t>
    </r>
  </si>
  <si>
    <t>0,003*4551,9*12</t>
  </si>
  <si>
    <t>2.7.ТО вентканалов   100шт*5,44+(100шт*16,17)</t>
  </si>
  <si>
    <t>9.Плановые накопления</t>
  </si>
  <si>
    <t>1,24*3033,4*12</t>
  </si>
  <si>
    <t>Смета доходов и расходов на 2012год</t>
  </si>
  <si>
    <t>Уборщица л/клеток</t>
  </si>
  <si>
    <t>1.2Приобретение спецодежды и инвентаря 0,05*4551,9*12</t>
  </si>
  <si>
    <t>0,25ед.</t>
  </si>
  <si>
    <t>397/1580=0,25</t>
  </si>
  <si>
    <t>б)уборщица л/клеток 0,25*5800*30%+26,3%*12</t>
  </si>
  <si>
    <t>ул.Старореченкая,дом 56</t>
  </si>
  <si>
    <t>1660,0/3080=0,539</t>
  </si>
  <si>
    <t>0,596ед.</t>
  </si>
  <si>
    <t>1720/30000=0,057</t>
  </si>
  <si>
    <t>Уб.л/клеток</t>
  </si>
  <si>
    <t>398/790=0,5</t>
  </si>
  <si>
    <t>1.3.Приобретение песко-соляной смеси 0,028*4606,9*12</t>
  </si>
  <si>
    <t>2.1.Сбор и вывоз ТБО   225чел.*1,5=379,5*90,3</t>
  </si>
  <si>
    <t>2.2 Захоронение  ТБО     337,5м3*35,02</t>
  </si>
  <si>
    <t>2.4.Дезинсекция контейнеров 0,002*4606,9*12</t>
  </si>
  <si>
    <t>2.5. Дератизация подвала  0,12*1164*12</t>
  </si>
  <si>
    <t>2.6.Аварийная служба 0,29*4606,9*12</t>
  </si>
  <si>
    <t>0,003*4602,2*12</t>
  </si>
  <si>
    <t>8.Плановые накопления</t>
  </si>
  <si>
    <t>а)Дворник   0,596*4330+75%+26,3%*12</t>
  </si>
  <si>
    <t>1.2Приобретение спецодежды и инвентаря 0,04*4606,9*12</t>
  </si>
  <si>
    <t>1.4.Вывоз и утилизация крупногабаритного мусора   0,1*4606,9*12</t>
  </si>
  <si>
    <t>2.3. Электроэнергия МОП   10600кВТ*2,73</t>
  </si>
  <si>
    <t>0,9*4602,2*12</t>
  </si>
  <si>
    <r>
      <t xml:space="preserve">5.Общеэксплуатационные расходы   </t>
    </r>
    <r>
      <rPr>
        <sz val="9"/>
        <rFont val="Arial Cyr"/>
        <family val="0"/>
      </rPr>
      <t>1,24*4602,2*12</t>
    </r>
  </si>
  <si>
    <t>ул.Молодежная,дом 21к2</t>
  </si>
  <si>
    <t>729,0/3080=0,299</t>
  </si>
  <si>
    <t>0,363ед.</t>
  </si>
  <si>
    <t>1929/30000=0,064</t>
  </si>
  <si>
    <t>2.4.Дезинсекция контейнеров 0,002*2480,2*12</t>
  </si>
  <si>
    <t>2.5.Аварийная служба 0,29*2480,2*12</t>
  </si>
  <si>
    <t>0,003*2480,2*12</t>
  </si>
  <si>
    <t>а)Дворник   0,363*5800+75%+26,3%*12</t>
  </si>
  <si>
    <t>_____________________Хабаров М.А.</t>
  </si>
  <si>
    <t>2.1.Сбор и вывоз ТБО  80чел.*1,5=120*90,3</t>
  </si>
  <si>
    <t>2.2 Захоронение  ТБО     120,0м3*35,02</t>
  </si>
  <si>
    <t>2.5. Дератизация подвала  1,44*672,1</t>
  </si>
  <si>
    <t>2.6.ТО вентканалов   30шт*5,44</t>
  </si>
  <si>
    <t>б)уборщица</t>
  </si>
  <si>
    <t>-</t>
  </si>
  <si>
    <t>0,9*2480,2*12</t>
  </si>
  <si>
    <r>
      <t xml:space="preserve">5.Общеэксплуатационные расходы   </t>
    </r>
    <r>
      <rPr>
        <sz val="9"/>
        <rFont val="Arial Cyr"/>
        <family val="0"/>
      </rPr>
      <t>1,24*2480,2*12</t>
    </r>
  </si>
  <si>
    <t>на 1кв.м.</t>
  </si>
  <si>
    <t>Директор ООО ЖЭУ-6</t>
  </si>
  <si>
    <t>ул.1-ая Красная, дом 16</t>
  </si>
  <si>
    <t>1.1.Зарплата дворника(уборка контейнерной площадки)</t>
  </si>
  <si>
    <t>1.3.Приобретение песко-соляной смеси 0,028*310,2*12</t>
  </si>
  <si>
    <t>2.1.Сбор и вывоз ТБО 9чел.*1,5=13,5*90,3</t>
  </si>
  <si>
    <t>2.2 Захоронение  ТБО     13,5м3*35,02</t>
  </si>
  <si>
    <t>2.4.Дезинсекция,дизенсекция  0,002*310,2*12</t>
  </si>
  <si>
    <t>2.5.Аварийная служба 0,29*310,2*12</t>
  </si>
  <si>
    <t>0,003*310,2*12</t>
  </si>
  <si>
    <t>1.2Приобретение спецодежды и инвентаря 0,04*310,2*12</t>
  </si>
  <si>
    <t>1.4.Вывоз и утилизация крупногабаритного мусора  0,1*310,2*12</t>
  </si>
  <si>
    <t>2.6.ТО вентканалов  и дымоходов  6шт*5,44+(6шт*16,17)</t>
  </si>
  <si>
    <t>0,9*310,2*12</t>
  </si>
  <si>
    <t>1,24*310,2*12</t>
  </si>
  <si>
    <t>ул.1-ая Краснкая, дом 18А</t>
  </si>
  <si>
    <t>443,53080=0,144</t>
  </si>
  <si>
    <t>0,156ед.</t>
  </si>
  <si>
    <t>362,5/30000=0,012</t>
  </si>
  <si>
    <t>1.3.Приобретение песко-соляной смеси 0,028*636,6*12</t>
  </si>
  <si>
    <t>2.4.Дезинсекция контейнеров 0,002*636,6*12</t>
  </si>
  <si>
    <t>2.6.Аварийная служба 0,29*636,6*12</t>
  </si>
  <si>
    <t>а)Дворник   0,006*5800+75%+26,3%*12</t>
  </si>
  <si>
    <t>а)Дворник   0,156*5800+75%+26,3%*12</t>
  </si>
  <si>
    <t>1.2Приобретение спецодежды и инвентаря 0,04*636,6*12</t>
  </si>
  <si>
    <t>2.1.Сбор и вывоз ТБО   23чел.*1,5=34,5*90,3</t>
  </si>
  <si>
    <t>2.2 Захоронение  ТБО     34,5м3*35,02</t>
  </si>
  <si>
    <t>2.3. Электроэнергия МОП    900кВТ*2,73</t>
  </si>
  <si>
    <t>2.5. Дератизация подвала  1,44*151,9</t>
  </si>
  <si>
    <t>0,9*636,6*12</t>
  </si>
  <si>
    <t>1,24*636,6*12</t>
  </si>
  <si>
    <t>1.3.Приобретение песко-соляной смеси 0,028*288,5*12</t>
  </si>
  <si>
    <t>1.2Приобретение спецодежды и инвентаря 0,04*288,5*12</t>
  </si>
  <si>
    <t>2.3. Электроэнергия МОП  1110кВТ*2,73</t>
  </si>
  <si>
    <t>(8кв.*120)</t>
  </si>
  <si>
    <t>1.4.Вывоз и утилизация крупногабаритного мусора   0,1*636,6*12</t>
  </si>
  <si>
    <t>6кв-*120</t>
  </si>
  <si>
    <t>1.4.Вывоз и утилизация крупногабаритного мусора  0,1*288,5*12</t>
  </si>
  <si>
    <t>2.3. Электроэнергия МОП   6300кВТ*2,73</t>
  </si>
  <si>
    <t>2.1.Сбор и вывоз ТБО   241чел.*1,5*90,3</t>
  </si>
  <si>
    <t>2.2 Захоронение  ТБО     241*1,5м3*35,02</t>
  </si>
  <si>
    <t>2.1.Сбор и вывоз ТБО   249чел.*1,5*90,3</t>
  </si>
  <si>
    <t>2.2 Захоронение  ТБО     249*1,5м3*35,02</t>
  </si>
  <si>
    <t>ул.Старореченкая,дом 15к3</t>
  </si>
  <si>
    <t>923,0/3080=0,3</t>
  </si>
  <si>
    <t>0,385ед.</t>
  </si>
  <si>
    <t>2545,0/30000=0,085</t>
  </si>
  <si>
    <t>1.3.Приобретение песко-соляной смеси 0,028*3376,6*12</t>
  </si>
  <si>
    <t>2.4.Дезинсекция контейнеров 0,002*3376,6*12</t>
  </si>
  <si>
    <t>2.5.Аварийная служба 0,29*3376,6*12</t>
  </si>
  <si>
    <t>0,003*3376,6*12</t>
  </si>
  <si>
    <t>а)Дворник   0,385*5800+75%+26,3%*12</t>
  </si>
  <si>
    <t>1.2Приобретение спецодежды и инвентаря 0,04*3376,6*12</t>
  </si>
  <si>
    <t>1.4.Вывоз и утилизация крупногабаритного мусора   0,1*3376,6*12</t>
  </si>
  <si>
    <t>2.1.Сбор и вывоз ТБО   185чел.*1,5*90,3</t>
  </si>
  <si>
    <t>2.2 Захоронение  ТБО     185*1,5м3*35,02</t>
  </si>
  <si>
    <t>2.3. Электроэнергия МОП   6700кВТ*2,73</t>
  </si>
  <si>
    <t>2.6.ТО вентканалов   70шт*5,44+(70шт*16,17)*4</t>
  </si>
  <si>
    <t>0,90*3376,6*12</t>
  </si>
  <si>
    <r>
      <t xml:space="preserve">5.Общеэксплуатационные расходы   </t>
    </r>
    <r>
      <rPr>
        <sz val="9"/>
        <rFont val="Arial Cyr"/>
        <family val="0"/>
      </rPr>
      <t>1,24*3376,6*12</t>
    </r>
  </si>
  <si>
    <t>улСтарореченская,дом 2к1</t>
  </si>
  <si>
    <t>1535,5/3080=0,499</t>
  </si>
  <si>
    <t>0,564ед.</t>
  </si>
  <si>
    <t>1939/30000=0,065</t>
  </si>
  <si>
    <t>1.3.Приобретение песко-соляной смеси 0,028*3616,4*12</t>
  </si>
  <si>
    <t>2.4.Дезинсекция контейнеров 0,002*3616,4*12</t>
  </si>
  <si>
    <t>0,003*3616,4*12</t>
  </si>
  <si>
    <t>ул.Старореченкая,дом 2к2</t>
  </si>
  <si>
    <t>1012,1/3080=0,329</t>
  </si>
  <si>
    <t>0,539ед.</t>
  </si>
  <si>
    <t>6301/30000=0,21</t>
  </si>
  <si>
    <t>1.3.Приобретение песко-соляной смеси 0,028*4881,3*12</t>
  </si>
  <si>
    <t>2.3. Электроэнергия МОП   11000кВТ*2,48</t>
  </si>
  <si>
    <t>2.4.Дезинсекция контейнеров 0,002*4881,3*12</t>
  </si>
  <si>
    <t>2.5. Дератизация подвала  0,12*1084*12</t>
  </si>
  <si>
    <t>2.5.Аварийная служба 0,29*4881,3*12</t>
  </si>
  <si>
    <t>2.6.ТО вентканалов  90шт*4,81</t>
  </si>
  <si>
    <t>0,003*4881,3*12</t>
  </si>
  <si>
    <t>а)Дворник   0,564*5800+75%+26,3%*12</t>
  </si>
  <si>
    <t>1.2Приобретение спецодежды и инвентаря 0,04*3616,4*12</t>
  </si>
  <si>
    <t>2.1.Сбор и вывоз ТБО   180чел.*1,5м3*90,3</t>
  </si>
  <si>
    <t>2.2 Захоронение  ТБО     180чел.*1,5м3м3*35,02</t>
  </si>
  <si>
    <t>2.3. Электроэнергия МОП   5300кВТ*2,73</t>
  </si>
  <si>
    <t>0,9*3616,4*12</t>
  </si>
  <si>
    <r>
      <t xml:space="preserve">5.Общеэксплуатационные расходы   </t>
    </r>
    <r>
      <rPr>
        <sz val="9"/>
        <rFont val="Arial Cyr"/>
        <family val="0"/>
      </rPr>
      <t>1,24*3616,4*12</t>
    </r>
  </si>
  <si>
    <t>2.5. Дератизация подвала  1,44*1010,3</t>
  </si>
  <si>
    <t>2.6.ТО вентканалов   65шт*5,44</t>
  </si>
  <si>
    <t>а)Дворник   0,539*5800+75%+26,3%*12</t>
  </si>
  <si>
    <t>1.2Приобретение спецодежды и инвентаря 0,04*4881,3*12</t>
  </si>
  <si>
    <t>1.4.Вывоз и утилизация крупногабаритного мусора   0,1*4881,3*12</t>
  </si>
  <si>
    <t>1.4.Вывоз и утилизация крупногабаритного мусора   0,1*3616,4*12</t>
  </si>
  <si>
    <t>2.1.Сбор и вывоз ТБО   218чел.*1,5м3*90,3</t>
  </si>
  <si>
    <t>2.2 Захоронение  ТБО     218чел*1,5м3*35,02</t>
  </si>
  <si>
    <r>
      <t xml:space="preserve">5.Общеэксплуатационные расходы   </t>
    </r>
    <r>
      <rPr>
        <sz val="9"/>
        <rFont val="Arial Cyr"/>
        <family val="0"/>
      </rPr>
      <t>1,24*4881,3*12</t>
    </r>
  </si>
  <si>
    <t>0,9*4881,3*12</t>
  </si>
  <si>
    <t>ул.Энгельса ,дом 6</t>
  </si>
  <si>
    <t>619,0/3080=0,2</t>
  </si>
  <si>
    <t>0,336ед.</t>
  </si>
  <si>
    <t>4082,9/30000=0,136</t>
  </si>
  <si>
    <t>1.3.Приобретение песко-соляной смеси 0,028*3229,7*12</t>
  </si>
  <si>
    <t>2.4.Дезинсекция контейнеров 0,002*3229,7*12</t>
  </si>
  <si>
    <t>2.5.Аварийная служба 0,29*3229,7*12</t>
  </si>
  <si>
    <t>0,003*3229,7*12</t>
  </si>
  <si>
    <t>а)Дворник   0,336*5800+75%+26,3%*12</t>
  </si>
  <si>
    <t>1.2Приобретение спецодежды и инвентаря 0,04*3229,7*12</t>
  </si>
  <si>
    <t>1.4.Вывоз и утилизация крупногабаритного мусора   0,1*3229,7*12</t>
  </si>
  <si>
    <t>2.1.Сбор и вывоз ТБО   157чел.*1,5м3*90,3</t>
  </si>
  <si>
    <t>2.2 Захоронение  ТБО     157чел.*1,5м3*35,02</t>
  </si>
  <si>
    <t>2.3. Электроэнергия МОП   8000кВТ*2,73</t>
  </si>
  <si>
    <t>2.6.ТО вентканалов   80шт*5,44+(80шт*16,17)*4</t>
  </si>
  <si>
    <t>0,9*3229,7*12</t>
  </si>
  <si>
    <r>
      <t xml:space="preserve">5.Общеэксплуатационные расходы   </t>
    </r>
    <r>
      <rPr>
        <sz val="9"/>
        <rFont val="Arial Cyr"/>
        <family val="0"/>
      </rPr>
      <t>1,24*3229,7*12</t>
    </r>
  </si>
  <si>
    <t>ул.Энгельса ,дом 23/9</t>
  </si>
  <si>
    <t>761,9/3080=0,247</t>
  </si>
  <si>
    <t>0,283ед.</t>
  </si>
  <si>
    <t>1094/30000=0,036</t>
  </si>
  <si>
    <t>1.3.Приобретение песко-соляной смеси 0,028*1994,7*12</t>
  </si>
  <si>
    <t>1.4.Вывоз и утилизация крупногабаритного мусора   0,09*1994,7*12</t>
  </si>
  <si>
    <t>2.1.Сбор и вывоз ТБО   89чел.*1,5=133,5*90,3</t>
  </si>
  <si>
    <t>2.2 Захоронение  ТБО     133,5м3*35,02</t>
  </si>
  <si>
    <t>2.4.Дезинсекция контейнеров 0,002*1994,7*12</t>
  </si>
  <si>
    <t>2.5.Аварийная служба 0,29*1994,7*12</t>
  </si>
  <si>
    <t>0,003*1994,7*12</t>
  </si>
  <si>
    <t>2.3. Электроэнергия МОП   3400кВТ*2,73</t>
  </si>
  <si>
    <t>2.5. Дератизация подвала  1,44*845</t>
  </si>
  <si>
    <t>а)Дворник   0,283*5800+75%+26,3%*12</t>
  </si>
  <si>
    <t>1.2Приобретение спецодежды и инвентаря 0,04*1994,7*12</t>
  </si>
  <si>
    <t>2.6.ТО вентканалов   27шт*5,44+(27шт*16,17)*4</t>
  </si>
  <si>
    <t>0,90*1994,7*12</t>
  </si>
  <si>
    <r>
      <t xml:space="preserve">5.Общеэксплуатационные расходы   </t>
    </r>
    <r>
      <rPr>
        <sz val="9"/>
        <rFont val="Arial Cyr"/>
        <family val="0"/>
      </rPr>
      <t>1,24*1994,7*12</t>
    </r>
  </si>
  <si>
    <t>ул.1-ая Красная, дом 28к1</t>
  </si>
  <si>
    <t>492,0/3080=0,16</t>
  </si>
  <si>
    <t>0,196ед.</t>
  </si>
  <si>
    <t>1093,0/30000=0,036</t>
  </si>
  <si>
    <t>1.3.Приобретение песко-соляной смеси 0,028*1630,8*12</t>
  </si>
  <si>
    <t>2.4.Дезинсекция,дизенсекция 0,002*1630,8*12</t>
  </si>
  <si>
    <t>2.6.Аварийная служба 0,29*1630,8*12</t>
  </si>
  <si>
    <t>0,003*1630,8*12</t>
  </si>
  <si>
    <t>а)Дворник   0,196*5800+75%+26,3%*12</t>
  </si>
  <si>
    <t>1.2Приобретение спецодежды и инвентаря 0,04*1630,8*12</t>
  </si>
  <si>
    <t>1.4.Вывоз и утилизация крупногабаритного мусора  0,1*1630,8*12</t>
  </si>
  <si>
    <t>2.3. Электроэнергия МОП    9000кВТ*2,73</t>
  </si>
  <si>
    <t>2.1.Сбор и вывоз ТБО   61чел.*1,5м3*90,3</t>
  </si>
  <si>
    <t>2.2 Захоронение  ТБО     61чел.*1,5м3*35,02</t>
  </si>
  <si>
    <t>2.5. Дератизация подвала  1,44*420,6</t>
  </si>
  <si>
    <t>2.7.ТО вентканалов  36шт*5,44</t>
  </si>
  <si>
    <t>36кв.*120</t>
  </si>
  <si>
    <t>0,9*1630,8*12</t>
  </si>
  <si>
    <t>1,24*1630,8*12</t>
  </si>
  <si>
    <t>ул.1-ая Красная, дом 28к2</t>
  </si>
  <si>
    <t>650,0/3080=0,21</t>
  </si>
  <si>
    <t>0,229ед.</t>
  </si>
  <si>
    <t>570/30000=0,019</t>
  </si>
  <si>
    <t>1.3.Приобретение песко-соляной смеси 0,028*1606,1*12</t>
  </si>
  <si>
    <t>1.4.Вывоз и утилизация крупногабаритного мусора  0,09*1606,1*12</t>
  </si>
  <si>
    <t>2.4.Дезинсекция,дизенсекция 0,002*1606,1*12</t>
  </si>
  <si>
    <t>2.6.Аварийная служба 0,29*1606,1*12</t>
  </si>
  <si>
    <t>0,003*1606,1*12</t>
  </si>
  <si>
    <t>36кв.120</t>
  </si>
  <si>
    <t>а)Дворник   0,229*5800+75%+26,3%*12</t>
  </si>
  <si>
    <t>1.2Приобретение спецодежды и инвентаря 0,04*1606,1*12</t>
  </si>
  <si>
    <t>2.1.Сбор и вывоз ТБО   76чел.*1,5м3*90,3</t>
  </si>
  <si>
    <t>2.2 Захоронение  ТБО    76чел*1,5м3*35,02</t>
  </si>
  <si>
    <t>2.3. Электроэнергия МОП    3500кВТ*2,73</t>
  </si>
  <si>
    <t>2.5. Дератизация подвала  1,44*401,4</t>
  </si>
  <si>
    <t>0,9*1606,1*12</t>
  </si>
  <si>
    <t>1,24*1606,1*12</t>
  </si>
  <si>
    <t>ул.1-ая Красная, дом 28</t>
  </si>
  <si>
    <t>1600,0/3080=0,52</t>
  </si>
  <si>
    <t>0,64ед.</t>
  </si>
  <si>
    <t>1.3.Приобретение песко-соляной смеси 0,028*9711,5*12</t>
  </si>
  <si>
    <t>1.4.Вывоз и утилизация крупногабаритного мусора  0,09*9711,5*12</t>
  </si>
  <si>
    <t>2.4.Дезинсекция,дизенсекция 0,002*9711,5*12</t>
  </si>
  <si>
    <t>2.6.Аварийная служба 0,29*9711,5*12</t>
  </si>
  <si>
    <t>а)Дворник   0,64*5800+75%+26,3%*12</t>
  </si>
  <si>
    <t>1.2Приобретение спецодежды и инвентаря 0,04*9711,5*12</t>
  </si>
  <si>
    <t>2.1.Сбор и вывоз ТБО   460чел.*1,5м3*90,3</t>
  </si>
  <si>
    <t>2.2 Захоронение  ТБО     460чел.*1,5м3*35,02</t>
  </si>
  <si>
    <t>2.3. Электроэнергия МОП    28300кВТ*2,73</t>
  </si>
  <si>
    <t>2.5. Дератизация подвала  1,44*2885</t>
  </si>
  <si>
    <t>2.7.ТО вентканалов  179шт*5,44</t>
  </si>
  <si>
    <t>179кв.*120</t>
  </si>
  <si>
    <t>0,9*9711,5*12</t>
  </si>
  <si>
    <t>1,24*9711,5*12</t>
  </si>
  <si>
    <t>0,003*9711,5*12</t>
  </si>
  <si>
    <t>ул.2-ая Красная, дом 13</t>
  </si>
  <si>
    <t>245,73080=0,08</t>
  </si>
  <si>
    <t>0,11ед.</t>
  </si>
  <si>
    <t>926,8/30000=0,03</t>
  </si>
  <si>
    <t>1.3.Приобретение песко-соляной смеси 0,028*1107,8*12</t>
  </si>
  <si>
    <t>2.4.Дезинсекция,дизенсекция 0,002*1107,81*12</t>
  </si>
  <si>
    <t>2.6.Аварийная служба 0,29*1107,8*12</t>
  </si>
  <si>
    <t>0,003*1107,8*12</t>
  </si>
  <si>
    <t>а)Дворник   0,11*5800+75%+26,3%*12</t>
  </si>
  <si>
    <t>1.2Приобретение спецодежды и инвентаря 0,04*1107,8*12</t>
  </si>
  <si>
    <t>1.4.Вывоз и утилизация крупногабаритного мусора  0,1*1107,8*12</t>
  </si>
  <si>
    <t>2.1.Сбор и вывоз ТБО   82чел.*1,5м3*90,3</t>
  </si>
  <si>
    <t>2.2 Захоронение  ТБО    82чел.*1,5м3*35,02</t>
  </si>
  <si>
    <t>2.3. Электроэнергия МОП    2550кВТ*2,73</t>
  </si>
  <si>
    <t>2.5. Дератизация подвала  1,44*437кв.м.</t>
  </si>
  <si>
    <t>2.7.ТО вентканалов 24шт*5,44+24*16,17</t>
  </si>
  <si>
    <t>24кв.*120</t>
  </si>
  <si>
    <t>0,9*1107,8*12</t>
  </si>
  <si>
    <t>1,24*1107,8*12</t>
  </si>
  <si>
    <t>1.2Приобретение спецодежды и инвентаря 0,04*3373,2*12</t>
  </si>
  <si>
    <t>1.3.Приобретение песко-соляной смеси 0,028*3373,2*12</t>
  </si>
  <si>
    <t>1.4.Вывоз и утилизация крупногабаритного мусора  0,1*3373,2*12</t>
  </si>
  <si>
    <t>ул.Луговая,дом 1</t>
  </si>
  <si>
    <t>890/3080=0,29</t>
  </si>
  <si>
    <t>0,375ед.</t>
  </si>
  <si>
    <t>2548,5/30000=0,085</t>
  </si>
  <si>
    <t>1.3.Приобретение песко-соляной смеси 0,028*3397,2*12</t>
  </si>
  <si>
    <t>2.4.Дезинсекция контейнеров 0,002*3397,2*12</t>
  </si>
  <si>
    <t>2.5.Аварийная служба 0,29*3397,2*12</t>
  </si>
  <si>
    <t>0,003*3397,2*12</t>
  </si>
  <si>
    <t>а)Дворник   0,375*5800+75%+26,3%*12</t>
  </si>
  <si>
    <t>1.2Приобретение спецодежды и инвентаря 0,04*3397,2*12</t>
  </si>
  <si>
    <t>1.4.Вывоз и утилизация крупногабаритного мусора  0,1*3397,2*12</t>
  </si>
  <si>
    <t>2.1.Сбор и вывоз ТБО   174чел.*1,5м3*90,3</t>
  </si>
  <si>
    <t>2.2 Захоронение  ТБО     174чел*1,5м3*35,02</t>
  </si>
  <si>
    <t>2.3. Электроэнергия МОП   7000кВТ*2,73</t>
  </si>
  <si>
    <t>0,9*3397,2*12</t>
  </si>
  <si>
    <t>1,24*3397,2*12</t>
  </si>
  <si>
    <t>ул.Луговая  дом 1ж</t>
  </si>
  <si>
    <t>1.3.Приобретение песко-соляной смеси 0,028*244,0*12</t>
  </si>
  <si>
    <t>1.4.Вывоз и утилизация крупногабаритного мусора  0,09*244,0*12</t>
  </si>
  <si>
    <t>2.4.Дезинсекция,дизенсекция  0,002*244,0*12</t>
  </si>
  <si>
    <t>2.5.Аварийная служба 0,29*244,0*12</t>
  </si>
  <si>
    <t>0,003*244,0*12</t>
  </si>
  <si>
    <t>1.2Приобретение спецодежды и инвентаря 0,04*244,0*12</t>
  </si>
  <si>
    <t>2.1.Сбор и вывоз ТБО 14чел.*1,5*90,3</t>
  </si>
  <si>
    <t>2.2 Захоронение  ТБО     14чел.*1,5м3*35,02</t>
  </si>
  <si>
    <t>0,9*244,0*12</t>
  </si>
  <si>
    <t>1,24*244,0*12</t>
  </si>
  <si>
    <t>ул.Станкозаводская, дом 6</t>
  </si>
  <si>
    <t>1533,7/3080=0,498</t>
  </si>
  <si>
    <t>0,54ед.</t>
  </si>
  <si>
    <t>1186,1/30000=0,04</t>
  </si>
  <si>
    <t>1.3.Приобретение песко-соляной смеси 0,028*2644,0*12</t>
  </si>
  <si>
    <t>2.4.Дезинсекция контейнеров 0,002*2611,0*12</t>
  </si>
  <si>
    <t>2.6.Аварийная служба 0,29*2644,0*12</t>
  </si>
  <si>
    <t xml:space="preserve">6.Общеэксплуатационные  расходы                              </t>
  </si>
  <si>
    <t>0,003*2644,0*12</t>
  </si>
  <si>
    <t>а)Дворник   0,54*5800+75%+26,3%*12</t>
  </si>
  <si>
    <t>1.2Приобретение спецодежды и инвентаря 0,04*2644,0*12</t>
  </si>
  <si>
    <t>1.4.Вывоз и утилизация крупногабаритного мусора   0,1*2644,0*12</t>
  </si>
  <si>
    <t>2.1.Сбор и вывоз ТБО   132чел.*1,5*90,3</t>
  </si>
  <si>
    <t>2.2 Захоронение  ТБО     132чел.*1,5м3*35,02</t>
  </si>
  <si>
    <t>2.3. Электроэнергия МОП    2300кВТ*2,73</t>
  </si>
  <si>
    <t>2.7.ТО вентканалов  64шт*5,44+(64шт*16,17)*4</t>
  </si>
  <si>
    <t>0,9*2644,0*12</t>
  </si>
  <si>
    <t>1,24*2644,0*12</t>
  </si>
  <si>
    <t>ул.Станкозаводская, дом 5/1</t>
  </si>
  <si>
    <t>607,7/3080=0,197</t>
  </si>
  <si>
    <t>0,237ед.</t>
  </si>
  <si>
    <t>1066,6/30000=0,04</t>
  </si>
  <si>
    <t>1.3.Приобретение песко-соляной смеси 0,028*1611,4*12</t>
  </si>
  <si>
    <t>2.4.Дезинсекция контейнеров 0,002*1611,40*12</t>
  </si>
  <si>
    <t>2.6.Аварийная служба 0,29*1611,4*12</t>
  </si>
  <si>
    <t>0,003*1611,4*12</t>
  </si>
  <si>
    <t>а)Дворник   0,237*5800+75%+26,3%*12</t>
  </si>
  <si>
    <t>1.2Приобретение спецодежды и инвентаря 0,04*1611,4*12</t>
  </si>
  <si>
    <t>1.4.Вывоз и утилизация крупногабаритного мусора   0,1*1611,4*12</t>
  </si>
  <si>
    <t>2.1.Сбор и вывоз ТБО  86чел.*1,5м3*90,3</t>
  </si>
  <si>
    <t>2.2 Захоронение  ТБО     86чел.*1,5м3*35,02</t>
  </si>
  <si>
    <t>2.3. Электроэнергия МОП    3100кВТ*2,73</t>
  </si>
  <si>
    <t>0,9*1611,4*12</t>
  </si>
  <si>
    <t>1,24*1611,4*12</t>
  </si>
  <si>
    <t>ул.Станкозаводская, дом 2к1</t>
  </si>
  <si>
    <t>433,0/3080=0,14</t>
  </si>
  <si>
    <t>0,205ед.</t>
  </si>
  <si>
    <t>1950,0/30000=0,065</t>
  </si>
  <si>
    <t>1.3.Приобретение песко-соляной смеси 0,028*2670,9*12</t>
  </si>
  <si>
    <t>2.4.Дезинсекция контейнеров 0,002*2670,9*12</t>
  </si>
  <si>
    <t>2.6.Аварийная служба 0,29*2670,9*12</t>
  </si>
  <si>
    <t>0,003*2670,9*12</t>
  </si>
  <si>
    <t>а)Дворник   0,205*5800+75%+26,3%*12</t>
  </si>
  <si>
    <t>1.2Приобретение спецодежды и инвентаря 0,04*2670,9*12</t>
  </si>
  <si>
    <t>1.4.Вывоз и утилизация крупногабаритного мусора   0,1*2670,9*12</t>
  </si>
  <si>
    <t>2.1.Сбор и вывоз ТБО  141чел.*1,5м3*90,3</t>
  </si>
  <si>
    <t>2.2 Захоронение  ТБО    141чел*1,5м3*35,02</t>
  </si>
  <si>
    <t>2.3. Электроэнергия МОП    5700кВТ*2,73</t>
  </si>
  <si>
    <t>2.7.ТО вентканалов  60шт*5,44+(60шт*16,17)*4</t>
  </si>
  <si>
    <t>0,9*2670,9*12</t>
  </si>
  <si>
    <t>1,24*2670,9*12</t>
  </si>
  <si>
    <t>ул.Станкозаводская , дом 14корп.1</t>
  </si>
  <si>
    <t>1044,0/3080=0,339</t>
  </si>
  <si>
    <t>0,346ед.</t>
  </si>
  <si>
    <t>2004/30000=0,0067</t>
  </si>
  <si>
    <t>1.3.Приобретение песко-соляной смеси 0,028*3186,2*12</t>
  </si>
  <si>
    <t>2.4.Дезинсекция,дизенсекция 0,002*3186,2*12</t>
  </si>
  <si>
    <t>2.6.Аварийная служба 0,29*3186,2*12</t>
  </si>
  <si>
    <t>0,003*3186,2*12</t>
  </si>
  <si>
    <t>а)Дворник   0,346*5800+75%+26,3%*12</t>
  </si>
  <si>
    <t>1.2Приобретение спецодежды и инвентаря 0,04*3186,2*12</t>
  </si>
  <si>
    <t>1.4.Вывоз и утилизация крупногабаритного мусора  0,1*3186,2*12</t>
  </si>
  <si>
    <t>2.1.Сбор и вывоз ТБО  98чел.*1,5*90,3</t>
  </si>
  <si>
    <t>2.2 Захоронение  ТБО     98чел.*1,5м3*35,02</t>
  </si>
  <si>
    <t>2.3. Электроэнергия МОП    11500кВТ*2,73</t>
  </si>
  <si>
    <t>2.5. Дератизация подвала  1,44*1020</t>
  </si>
  <si>
    <t>0,9*3186,2*12</t>
  </si>
  <si>
    <t>1,24*3186,2*12</t>
  </si>
  <si>
    <t>ул.Октябрьская ,дом 1</t>
  </si>
  <si>
    <t>566,5/3080=0,18</t>
  </si>
  <si>
    <t>0,21ед.</t>
  </si>
  <si>
    <t>863,9/30000=0,03</t>
  </si>
  <si>
    <t>1.3.Приобретение песко-соляной смеси 0,028*2050,9*12</t>
  </si>
  <si>
    <t>2.4.Дезинсекция контейнеров 0,002*2050,9*12</t>
  </si>
  <si>
    <t>2.5.Аварийная служба 0,29*2050,9*12</t>
  </si>
  <si>
    <t xml:space="preserve">6.Общеэксплуатационные расходы                              </t>
  </si>
  <si>
    <t>0,003*2050,9*12</t>
  </si>
  <si>
    <t>а)Дворник   0,21*5800+75%+26,3%*12</t>
  </si>
  <si>
    <t>1.2Приобретение спецодежды и инвентаря 0,04*2050,9*12</t>
  </si>
  <si>
    <t>1.4.Вывоз и утилизация крупногабаритного мусора   0,1*2050,9*12</t>
  </si>
  <si>
    <t>2.1.Сбор и вывоз ТБО   62чел.*1,5*90,3</t>
  </si>
  <si>
    <t>2.2 Захоронение  ТБО     62чел.*1,5м3*35,02</t>
  </si>
  <si>
    <t>2.6.ТО вентканалов   24шт*5,44+(24шт*16,17)*4</t>
  </si>
  <si>
    <t>0,9*2050,9*12</t>
  </si>
  <si>
    <t>1,24*2050,9*12</t>
  </si>
  <si>
    <t>ул.Октябрьская ,дом 4</t>
  </si>
  <si>
    <t>834,6/3080=0,27</t>
  </si>
  <si>
    <t>0,43ед.</t>
  </si>
  <si>
    <t>325/2500=0,13</t>
  </si>
  <si>
    <t>1025/30000=0,03</t>
  </si>
  <si>
    <t>1.3.Приобретение песко-соляной смеси 0,028*1958,7*12</t>
  </si>
  <si>
    <t>2.3. Электроэнергия МОП   3700кВТ*2,48</t>
  </si>
  <si>
    <t>2.4.Дезинсекция контейнеров 0,002*1958,7*12</t>
  </si>
  <si>
    <t>2.5.Аварийная служба 0,29*1958,7*12</t>
  </si>
  <si>
    <t>0,003*1958,7*12</t>
  </si>
  <si>
    <t>а)Дворник   0,43*5800+75%+26,3%*12</t>
  </si>
  <si>
    <t>1.2Приобретение спецодежды и инвентаря 0,04*1958,7*12</t>
  </si>
  <si>
    <t>1.4.Вывоз и утилизация крупногабаритного мусора   0,1*1958,7*12</t>
  </si>
  <si>
    <t>2.1.Сбор и вывоз ТБО   51чел.*1,5м3*90,3</t>
  </si>
  <si>
    <t>2.2 Захоронение  ТБО     51чел*1,5м3*35,02</t>
  </si>
  <si>
    <t>2.5. Дератизация подвала  1,44*534,7</t>
  </si>
  <si>
    <t>0,9*1958,7*12</t>
  </si>
  <si>
    <t>1,24*1958,7*12</t>
  </si>
  <si>
    <t>1250,0/3080=0,4</t>
  </si>
  <si>
    <t>0,618ед.</t>
  </si>
  <si>
    <t>470/2500=0,188</t>
  </si>
  <si>
    <t>1.3.Приобретение песко-соляной смеси 0,028*1666,9*12</t>
  </si>
  <si>
    <t>2.4.Дезинсекция контейнеров 0,002*1666,9*12</t>
  </si>
  <si>
    <t>2.5.Аварийная служба 0,29*1666,9*12</t>
  </si>
  <si>
    <t>0,003*1666,9*12</t>
  </si>
  <si>
    <t>а)Дворник   0,618*5800+75%+26,3%*12</t>
  </si>
  <si>
    <t>1.2Приобретение спецодежды и инвентаря 0,04*1666,9*12</t>
  </si>
  <si>
    <t>1.4.Вывоз и утилизация крупногабаритного мусора   0,1*1666,9*12</t>
  </si>
  <si>
    <t>2.1.Сбор и вывоз ТБО  65чел.*1,5*90,3</t>
  </si>
  <si>
    <t>2.2 Захоронение  ТБО    65*чел*1,5м3*35,02</t>
  </si>
  <si>
    <t>2.3. Электроэнергия МОП   2500кВТ*2,73</t>
  </si>
  <si>
    <t>2.5. Дератизация подвала  1,44*582,9</t>
  </si>
  <si>
    <t>2.6.ТО вентканалов  31шт*5,44+(31шт*16,17)*4</t>
  </si>
  <si>
    <t>0,9*1666,9*12</t>
  </si>
  <si>
    <t>1,24*1666,9*12</t>
  </si>
  <si>
    <t>ул.Октябрьская ,дом 12/14</t>
  </si>
  <si>
    <t>ул.Молодежная,дом 21к1</t>
  </si>
  <si>
    <t>729,0/3080=0,237</t>
  </si>
  <si>
    <t>0,307ед.</t>
  </si>
  <si>
    <t>2120/30000=0,07</t>
  </si>
  <si>
    <t>1.3.Приобретение песко-соляной смеси 0,028*2476,1*12</t>
  </si>
  <si>
    <t>2.4.Дезинсекция контейнеров 0,002*2476,1*12</t>
  </si>
  <si>
    <t>2.5.Аварийная служба 0,29*2476,1*12</t>
  </si>
  <si>
    <t>0,003*2476,1*12</t>
  </si>
  <si>
    <t>а)Дворник   0,307*5800+75%+26,3%*12</t>
  </si>
  <si>
    <t>1.2Приобретение спецодежды и инвентаря 0,04*2476,1*12</t>
  </si>
  <si>
    <t>1.4.Вывоз и утилизация крупногабаритного мусора   0,1*2476,1*12</t>
  </si>
  <si>
    <t>1.2Приобретение спецодежды и инвентаря 0,04*2480,2*12</t>
  </si>
  <si>
    <t>1.3.Приобретение песко-соляной смеси 0,028*2480,2*12</t>
  </si>
  <si>
    <t>1.4.Вывоз и утилизация крупногабаритного мусора   0,1*2480,2*12</t>
  </si>
  <si>
    <t>2.1.Сбор и вывоз ТБО  68чел.*1,5м3*90,3</t>
  </si>
  <si>
    <t>2.2 Захоронение  ТБО     68чел.*1,5м3*35,02</t>
  </si>
  <si>
    <t>2.3. Электроэнергия МОП   3500кВТ*2,73</t>
  </si>
  <si>
    <t>0,9*2476,1*12</t>
  </si>
  <si>
    <r>
      <t xml:space="preserve">5.Общеэксплуатационные расходы   </t>
    </r>
    <r>
      <rPr>
        <sz val="9"/>
        <rFont val="Arial Cyr"/>
        <family val="0"/>
      </rPr>
      <t>1,24*2476,1*12</t>
    </r>
  </si>
  <si>
    <t>ул.Молодцова , дом 4 корп.1</t>
  </si>
  <si>
    <t>1330/3080=0,43</t>
  </si>
  <si>
    <t>0,485ед.</t>
  </si>
  <si>
    <t>1658,0/30000=0,055</t>
  </si>
  <si>
    <t>1.3.Приобретение песко-соляной смеси 0,028*2369,1*12</t>
  </si>
  <si>
    <t>2.4.Дезинсекция контейнеров 0,002*2369,1*12</t>
  </si>
  <si>
    <t>2.6.Аварийная служба 0,29*2369,1*12</t>
  </si>
  <si>
    <t>0,003*2369,1*12</t>
  </si>
  <si>
    <t>а)Дворник   0,485*5800+75%+26,3%*12</t>
  </si>
  <si>
    <t>2.1.Сбор и вывоз ТБО  110чел.*1,5м3*90,3</t>
  </si>
  <si>
    <t>2.2 Захоронение  ТБО    110чел.*1,5м3*35,02</t>
  </si>
  <si>
    <t>2.3. Электроэнергия МОП    3300кВТ*2,73</t>
  </si>
  <si>
    <t>0,9*2369,1*12</t>
  </si>
  <si>
    <t>1,24*2369,1*12</t>
  </si>
  <si>
    <t>1.2Приобретение спецодежды и инвентаря 0,04*2369,1*12</t>
  </si>
  <si>
    <t>1.4.Вывоз и утилизация крупногабаритного мусора   0,1*2369,1*12</t>
  </si>
  <si>
    <t>ул.Молодцова , дом 5корп.1</t>
  </si>
  <si>
    <t>345,0/3080=0,112</t>
  </si>
  <si>
    <t>0,241ед.</t>
  </si>
  <si>
    <t>3870,0/30000=0,129</t>
  </si>
  <si>
    <t>1.3.Приобретение песко-соляной смеси 0,028*2571,2*12</t>
  </si>
  <si>
    <t>2.4.Дезинсекция контейнеров 0,002*2571,2*12</t>
  </si>
  <si>
    <t>2.6.Аварийная служба 0,29*2571,2*12</t>
  </si>
  <si>
    <t>0,003*2571,2*12</t>
  </si>
  <si>
    <t>а)Дворник   0,241*5800+75%+26,3%*12</t>
  </si>
  <si>
    <t>1.2Приобретение спецодежды и инвентаря 0,04*2571,2*12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</si>
</sst>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</numFmts>
  <fonts count="16">
    <font>
      <sz val="10"/>
      <name val="Arial Cyr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Arial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2" fontId="0" fillId="0" borderId="1" xfId="17" applyNumberFormat="1" applyFont="1" applyBorder="1" applyAlignment="1">
      <alignment horizontal="right"/>
      <protection/>
    </xf>
    <xf numFmtId="0" fontId="1" fillId="0" borderId="1" xfId="17" applyBorder="1">
      <alignment/>
      <protection/>
    </xf>
    <xf numFmtId="0" fontId="7" fillId="0" borderId="2" xfId="17" applyFont="1" applyBorder="1" applyAlignment="1">
      <alignment horizontal="left"/>
      <protection/>
    </xf>
    <xf numFmtId="2" fontId="8" fillId="0" borderId="3" xfId="17" applyNumberFormat="1" applyFont="1" applyBorder="1" applyAlignment="1">
      <alignment horizontal="right"/>
      <protection/>
    </xf>
    <xf numFmtId="0" fontId="1" fillId="0" borderId="1" xfId="17" applyFont="1" applyBorder="1">
      <alignment/>
      <protection/>
    </xf>
    <xf numFmtId="0" fontId="7" fillId="0" borderId="0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"/>
      <protection/>
    </xf>
    <xf numFmtId="2" fontId="8" fillId="0" borderId="0" xfId="17" applyNumberFormat="1" applyFont="1" applyBorder="1" applyAlignment="1">
      <alignment horizontal="right"/>
      <protection/>
    </xf>
    <xf numFmtId="168" fontId="8" fillId="0" borderId="0" xfId="17" applyNumberFormat="1" applyFont="1" applyBorder="1" applyAlignment="1">
      <alignment horizontal="right"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horizontal="center" wrapText="1"/>
      <protection/>
    </xf>
    <xf numFmtId="0" fontId="1" fillId="0" borderId="0" xfId="17" applyFont="1" applyBorder="1" applyAlignment="1">
      <alignment/>
      <protection/>
    </xf>
    <xf numFmtId="0" fontId="1" fillId="0" borderId="1" xfId="17" applyFont="1" applyBorder="1">
      <alignment/>
      <protection/>
    </xf>
    <xf numFmtId="2" fontId="8" fillId="0" borderId="3" xfId="17" applyNumberFormat="1" applyFont="1" applyBorder="1" applyAlignment="1">
      <alignment horizontal="right"/>
      <protection/>
    </xf>
    <xf numFmtId="2" fontId="8" fillId="0" borderId="3" xfId="17" applyNumberFormat="1" applyFont="1" applyBorder="1" applyAlignment="1">
      <alignment horizontal="right" wrapText="1"/>
      <protection/>
    </xf>
    <xf numFmtId="0" fontId="0" fillId="0" borderId="3" xfId="0" applyBorder="1" applyAlignment="1">
      <alignment wrapText="1"/>
    </xf>
    <xf numFmtId="0" fontId="1" fillId="0" borderId="0" xfId="1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" fontId="7" fillId="0" borderId="4" xfId="17" applyNumberFormat="1" applyFont="1" applyBorder="1" applyAlignment="1">
      <alignment vertical="top"/>
      <protection/>
    </xf>
    <xf numFmtId="0" fontId="4" fillId="0" borderId="0" xfId="17" applyFont="1" applyBorder="1" applyAlignment="1">
      <alignment horizontal="center" vertical="center" wrapText="1"/>
      <protection/>
    </xf>
    <xf numFmtId="2" fontId="0" fillId="0" borderId="3" xfId="17" applyNumberFormat="1" applyFont="1" applyBorder="1" applyAlignment="1">
      <alignment horizontal="right"/>
      <protection/>
    </xf>
    <xf numFmtId="2" fontId="0" fillId="0" borderId="3" xfId="17" applyNumberFormat="1" applyFont="1" applyBorder="1" applyAlignment="1">
      <alignment horizontal="right"/>
      <protection/>
    </xf>
    <xf numFmtId="0" fontId="6" fillId="0" borderId="2" xfId="17" applyFont="1" applyBorder="1" applyAlignment="1">
      <alignment wrapText="1"/>
      <protection/>
    </xf>
    <xf numFmtId="0" fontId="6" fillId="0" borderId="5" xfId="17" applyFont="1" applyBorder="1" applyAlignment="1">
      <alignment wrapText="1"/>
      <protection/>
    </xf>
    <xf numFmtId="0" fontId="0" fillId="0" borderId="6" xfId="0" applyBorder="1" applyAlignment="1">
      <alignment wrapText="1"/>
    </xf>
    <xf numFmtId="0" fontId="7" fillId="0" borderId="7" xfId="17" applyFont="1" applyBorder="1" applyAlignment="1">
      <alignment/>
      <protection/>
    </xf>
    <xf numFmtId="0" fontId="7" fillId="0" borderId="7" xfId="17" applyFont="1" applyBorder="1" applyAlignment="1">
      <alignment vertical="top"/>
      <protection/>
    </xf>
    <xf numFmtId="0" fontId="0" fillId="0" borderId="8" xfId="0" applyBorder="1" applyAlignment="1">
      <alignment/>
    </xf>
    <xf numFmtId="0" fontId="0" fillId="0" borderId="8" xfId="17" applyFont="1" applyBorder="1">
      <alignment/>
      <protection/>
    </xf>
    <xf numFmtId="0" fontId="8" fillId="0" borderId="6" xfId="17" applyFont="1" applyBorder="1">
      <alignment/>
      <protection/>
    </xf>
    <xf numFmtId="0" fontId="9" fillId="0" borderId="7" xfId="17" applyFont="1" applyBorder="1" applyAlignment="1">
      <alignment/>
      <protection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5" xfId="17" applyFont="1" applyBorder="1" applyAlignment="1">
      <alignment horizontal="center"/>
      <protection/>
    </xf>
    <xf numFmtId="2" fontId="8" fillId="0" borderId="5" xfId="17" applyNumberFormat="1" applyFont="1" applyBorder="1" applyAlignment="1">
      <alignment horizontal="right"/>
      <protection/>
    </xf>
    <xf numFmtId="0" fontId="7" fillId="0" borderId="9" xfId="17" applyFont="1" applyBorder="1" applyAlignment="1">
      <alignment vertical="top"/>
      <protection/>
    </xf>
    <xf numFmtId="0" fontId="7" fillId="0" borderId="0" xfId="17" applyFont="1" applyBorder="1" applyAlignment="1">
      <alignment vertical="top"/>
      <protection/>
    </xf>
    <xf numFmtId="0" fontId="7" fillId="0" borderId="4" xfId="17" applyFont="1" applyBorder="1" applyAlignment="1">
      <alignment vertical="top"/>
      <protection/>
    </xf>
    <xf numFmtId="0" fontId="0" fillId="0" borderId="10" xfId="0" applyBorder="1" applyAlignment="1">
      <alignment/>
    </xf>
    <xf numFmtId="2" fontId="0" fillId="0" borderId="10" xfId="17" applyNumberFormat="1" applyFont="1" applyBorder="1" applyAlignment="1">
      <alignment horizontal="right"/>
      <protection/>
    </xf>
    <xf numFmtId="0" fontId="0" fillId="0" borderId="5" xfId="0" applyBorder="1" applyAlignment="1">
      <alignment wrapText="1"/>
    </xf>
    <xf numFmtId="0" fontId="8" fillId="0" borderId="3" xfId="0" applyFont="1" applyBorder="1" applyAlignment="1">
      <alignment wrapText="1" shrinkToFit="1"/>
    </xf>
    <xf numFmtId="0" fontId="9" fillId="0" borderId="3" xfId="17" applyFont="1" applyBorder="1" applyAlignment="1">
      <alignment horizontal="center" vertical="center" wrapText="1"/>
      <protection/>
    </xf>
    <xf numFmtId="168" fontId="1" fillId="0" borderId="1" xfId="17" applyNumberFormat="1" applyBorder="1">
      <alignment/>
      <protection/>
    </xf>
    <xf numFmtId="0" fontId="1" fillId="0" borderId="5" xfId="17" applyFont="1" applyBorder="1">
      <alignment/>
      <protection/>
    </xf>
    <xf numFmtId="168" fontId="4" fillId="0" borderId="1" xfId="17" applyNumberFormat="1" applyFont="1" applyBorder="1">
      <alignment/>
      <protection/>
    </xf>
    <xf numFmtId="0" fontId="1" fillId="0" borderId="0" xfId="17" applyFont="1">
      <alignment/>
      <protection/>
    </xf>
    <xf numFmtId="0" fontId="7" fillId="0" borderId="2" xfId="17" applyFont="1" applyBorder="1" applyAlignment="1">
      <alignment/>
      <protection/>
    </xf>
    <xf numFmtId="0" fontId="0" fillId="0" borderId="5" xfId="0" applyBorder="1" applyAlignment="1">
      <alignment/>
    </xf>
    <xf numFmtId="0" fontId="12" fillId="0" borderId="0" xfId="0" applyFont="1" applyAlignment="1">
      <alignment/>
    </xf>
    <xf numFmtId="2" fontId="11" fillId="0" borderId="3" xfId="17" applyNumberFormat="1" applyFont="1" applyBorder="1">
      <alignment/>
      <protection/>
    </xf>
    <xf numFmtId="49" fontId="8" fillId="0" borderId="0" xfId="17" applyNumberFormat="1" applyFont="1" applyBorder="1" applyAlignment="1">
      <alignment horizontal="right"/>
      <protection/>
    </xf>
    <xf numFmtId="2" fontId="4" fillId="0" borderId="1" xfId="17" applyNumberFormat="1" applyFont="1" applyBorder="1" applyAlignment="1">
      <alignment wrapText="1"/>
      <protection/>
    </xf>
    <xf numFmtId="2" fontId="1" fillId="0" borderId="1" xfId="17" applyNumberFormat="1" applyBorder="1" applyAlignment="1">
      <alignment wrapText="1"/>
      <protection/>
    </xf>
    <xf numFmtId="2" fontId="0" fillId="0" borderId="0" xfId="0" applyNumberFormat="1" applyAlignment="1">
      <alignment wrapText="1"/>
    </xf>
    <xf numFmtId="2" fontId="1" fillId="0" borderId="0" xfId="17" applyNumberFormat="1" applyAlignment="1">
      <alignment wrapText="1"/>
      <protection/>
    </xf>
    <xf numFmtId="0" fontId="13" fillId="0" borderId="0" xfId="0" applyFont="1" applyAlignment="1">
      <alignment/>
    </xf>
    <xf numFmtId="0" fontId="1" fillId="0" borderId="0" xfId="17" applyFo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1" fillId="0" borderId="0" xfId="17" applyNumberFormat="1" applyFont="1" applyBorder="1">
      <alignment/>
      <protection/>
    </xf>
    <xf numFmtId="0" fontId="5" fillId="0" borderId="0" xfId="17" applyFont="1" applyBorder="1" applyAlignment="1">
      <alignment/>
      <protection/>
    </xf>
    <xf numFmtId="10" fontId="8" fillId="0" borderId="0" xfId="17" applyNumberFormat="1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2" fontId="6" fillId="0" borderId="0" xfId="17" applyNumberFormat="1" applyFont="1" applyBorder="1" applyAlignment="1">
      <alignment wrapText="1"/>
      <protection/>
    </xf>
    <xf numFmtId="2" fontId="0" fillId="0" borderId="1" xfId="17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17" applyFont="1">
      <alignment/>
      <protection/>
    </xf>
    <xf numFmtId="2" fontId="5" fillId="0" borderId="1" xfId="17" applyNumberFormat="1" applyFont="1" applyBorder="1" applyAlignment="1">
      <alignment wrapText="1"/>
      <protection/>
    </xf>
    <xf numFmtId="2" fontId="1" fillId="0" borderId="1" xfId="17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 vertical="center" wrapText="1"/>
      <protection/>
    </xf>
    <xf numFmtId="0" fontId="14" fillId="0" borderId="9" xfId="17" applyFont="1" applyBorder="1" applyAlignment="1">
      <alignment vertical="top"/>
      <protection/>
    </xf>
    <xf numFmtId="0" fontId="14" fillId="0" borderId="0" xfId="17" applyFont="1" applyBorder="1" applyAlignment="1">
      <alignment vertical="top"/>
      <protection/>
    </xf>
    <xf numFmtId="0" fontId="14" fillId="0" borderId="4" xfId="17" applyFont="1" applyBorder="1" applyAlignment="1">
      <alignment vertical="top"/>
      <protection/>
    </xf>
    <xf numFmtId="2" fontId="14" fillId="0" borderId="4" xfId="17" applyNumberFormat="1" applyFont="1" applyBorder="1" applyAlignment="1">
      <alignment vertical="top"/>
      <protection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" xfId="17" applyFont="1" applyBorder="1" applyAlignment="1">
      <alignment wrapText="1"/>
      <protection/>
    </xf>
    <xf numFmtId="0" fontId="0" fillId="0" borderId="5" xfId="17" applyFont="1" applyBorder="1" applyAlignment="1">
      <alignment wrapText="1"/>
      <protection/>
    </xf>
    <xf numFmtId="2" fontId="0" fillId="0" borderId="3" xfId="17" applyNumberFormat="1" applyFont="1" applyBorder="1" applyAlignment="1">
      <alignment horizontal="right"/>
      <protection/>
    </xf>
    <xf numFmtId="0" fontId="0" fillId="0" borderId="3" xfId="0" applyFont="1" applyBorder="1" applyAlignment="1">
      <alignment wrapText="1"/>
    </xf>
    <xf numFmtId="2" fontId="0" fillId="0" borderId="1" xfId="17" applyNumberFormat="1" applyFont="1" applyBorder="1" applyAlignment="1">
      <alignment horizontal="right"/>
      <protection/>
    </xf>
    <xf numFmtId="0" fontId="8" fillId="0" borderId="7" xfId="17" applyFont="1" applyBorder="1" applyAlignment="1">
      <alignment/>
      <protection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14" fillId="0" borderId="2" xfId="17" applyFont="1" applyBorder="1" applyAlignment="1">
      <alignment horizontal="left"/>
      <protection/>
    </xf>
    <xf numFmtId="0" fontId="14" fillId="0" borderId="0" xfId="17" applyFont="1" applyBorder="1" applyAlignment="1">
      <alignment horizontal="left"/>
      <protection/>
    </xf>
    <xf numFmtId="0" fontId="15" fillId="0" borderId="0" xfId="17" applyFont="1">
      <alignment/>
      <protection/>
    </xf>
    <xf numFmtId="0" fontId="6" fillId="0" borderId="6" xfId="0" applyFont="1" applyBorder="1" applyAlignment="1">
      <alignment wrapText="1"/>
    </xf>
    <xf numFmtId="2" fontId="8" fillId="0" borderId="6" xfId="17" applyNumberFormat="1" applyFont="1" applyBorder="1" applyAlignment="1">
      <alignment horizontal="right"/>
      <protection/>
    </xf>
    <xf numFmtId="0" fontId="6" fillId="0" borderId="8" xfId="17" applyFont="1" applyBorder="1" applyAlignment="1">
      <alignment vertical="top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7" applyFont="1" applyBorder="1" applyAlignment="1">
      <alignment horizontal="left" vertical="center"/>
      <protection/>
    </xf>
    <xf numFmtId="0" fontId="6" fillId="0" borderId="13" xfId="17" applyFont="1" applyBorder="1" applyAlignment="1">
      <alignment wrapText="1"/>
      <protection/>
    </xf>
    <xf numFmtId="0" fontId="6" fillId="0" borderId="14" xfId="17" applyFont="1" applyBorder="1" applyAlignment="1">
      <alignment wrapText="1"/>
      <protection/>
    </xf>
    <xf numFmtId="0" fontId="4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169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11" fillId="0" borderId="3" xfId="17" applyNumberFormat="1" applyFont="1" applyBorder="1">
      <alignment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4" fillId="0" borderId="0" xfId="17" applyFont="1" applyBorder="1">
      <alignment/>
      <protection/>
    </xf>
    <xf numFmtId="0" fontId="4" fillId="0" borderId="13" xfId="17" applyFont="1" applyBorder="1">
      <alignment/>
      <protection/>
    </xf>
    <xf numFmtId="0" fontId="1" fillId="0" borderId="14" xfId="17" applyFont="1" applyBorder="1">
      <alignment/>
      <protection/>
    </xf>
    <xf numFmtId="2" fontId="1" fillId="0" borderId="0" xfId="17" applyNumberFormat="1">
      <alignment/>
      <protection/>
    </xf>
    <xf numFmtId="2" fontId="8" fillId="0" borderId="1" xfId="17" applyNumberFormat="1" applyFont="1" applyBorder="1" applyAlignment="1">
      <alignment horizontal="right"/>
      <protection/>
    </xf>
    <xf numFmtId="0" fontId="7" fillId="0" borderId="2" xfId="17" applyFont="1" applyBorder="1" applyAlignment="1">
      <alignment wrapText="1"/>
      <protection/>
    </xf>
    <xf numFmtId="0" fontId="7" fillId="0" borderId="5" xfId="17" applyFont="1" applyBorder="1" applyAlignment="1">
      <alignment wrapText="1"/>
      <protection/>
    </xf>
    <xf numFmtId="0" fontId="9" fillId="0" borderId="2" xfId="17" applyFont="1" applyBorder="1" applyAlignment="1">
      <alignment horizontal="center" vertical="center" wrapText="1" shrinkToFit="1"/>
      <protection/>
    </xf>
    <xf numFmtId="0" fontId="9" fillId="0" borderId="5" xfId="17" applyFont="1" applyBorder="1" applyAlignment="1">
      <alignment horizontal="center" vertical="center" wrapText="1" shrinkToFit="1"/>
      <protection/>
    </xf>
    <xf numFmtId="0" fontId="7" fillId="0" borderId="8" xfId="17" applyFont="1" applyBorder="1" applyAlignment="1">
      <alignment horizontal="left" wrapText="1"/>
      <protection/>
    </xf>
    <xf numFmtId="0" fontId="0" fillId="0" borderId="3" xfId="0" applyBorder="1" applyAlignment="1">
      <alignment wrapText="1"/>
    </xf>
    <xf numFmtId="0" fontId="7" fillId="0" borderId="7" xfId="17" applyFont="1" applyBorder="1" applyAlignment="1">
      <alignment vertical="top" wrapText="1"/>
      <protection/>
    </xf>
    <xf numFmtId="0" fontId="7" fillId="0" borderId="8" xfId="17" applyFont="1" applyBorder="1" applyAlignment="1">
      <alignment vertical="top" wrapText="1"/>
      <protection/>
    </xf>
    <xf numFmtId="0" fontId="9" fillId="0" borderId="7" xfId="17" applyFont="1" applyBorder="1" applyAlignment="1">
      <alignment horizontal="left" wrapText="1"/>
      <protection/>
    </xf>
    <xf numFmtId="0" fontId="9" fillId="0" borderId="8" xfId="17" applyFont="1" applyBorder="1" applyAlignment="1">
      <alignment horizontal="left" wrapText="1"/>
      <protection/>
    </xf>
    <xf numFmtId="0" fontId="11" fillId="0" borderId="7" xfId="17" applyFont="1" applyBorder="1" applyAlignment="1">
      <alignment horizontal="left" wrapText="1"/>
      <protection/>
    </xf>
    <xf numFmtId="0" fontId="11" fillId="0" borderId="8" xfId="17" applyFont="1" applyBorder="1" applyAlignment="1">
      <alignment horizontal="left" wrapText="1"/>
      <protection/>
    </xf>
    <xf numFmtId="0" fontId="6" fillId="0" borderId="2" xfId="17" applyFont="1" applyBorder="1" applyAlignment="1">
      <alignment wrapText="1"/>
      <protection/>
    </xf>
    <xf numFmtId="0" fontId="6" fillId="0" borderId="5" xfId="17" applyFont="1" applyBorder="1" applyAlignment="1">
      <alignment wrapText="1"/>
      <protection/>
    </xf>
    <xf numFmtId="0" fontId="7" fillId="0" borderId="7" xfId="17" applyFont="1" applyBorder="1" applyAlignment="1">
      <alignment horizontal="left" wrapText="1"/>
      <protection/>
    </xf>
    <xf numFmtId="0" fontId="6" fillId="0" borderId="2" xfId="17" applyFont="1" applyBorder="1" applyAlignment="1">
      <alignment vertical="top" wrapText="1"/>
      <protection/>
    </xf>
    <xf numFmtId="0" fontId="6" fillId="0" borderId="5" xfId="17" applyFont="1" applyBorder="1" applyAlignment="1">
      <alignment vertical="top" wrapText="1"/>
      <protection/>
    </xf>
    <xf numFmtId="0" fontId="6" fillId="0" borderId="13" xfId="17" applyFont="1" applyBorder="1" applyAlignment="1">
      <alignment wrapText="1"/>
      <protection/>
    </xf>
    <xf numFmtId="0" fontId="6" fillId="0" borderId="14" xfId="17" applyFont="1" applyBorder="1" applyAlignment="1">
      <alignment wrapText="1"/>
      <protection/>
    </xf>
    <xf numFmtId="0" fontId="3" fillId="0" borderId="0" xfId="17" applyFont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4" fillId="0" borderId="2" xfId="17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1" fillId="0" borderId="11" xfId="17" applyFont="1" applyBorder="1" applyAlignment="1">
      <alignment horizontal="center" vertical="center" wrapText="1"/>
      <protection/>
    </xf>
    <xf numFmtId="0" fontId="1" fillId="0" borderId="12" xfId="17" applyFont="1" applyBorder="1" applyAlignment="1">
      <alignment horizontal="center" vertical="center" wrapText="1"/>
      <protection/>
    </xf>
    <xf numFmtId="2" fontId="8" fillId="0" borderId="0" xfId="17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0" fontId="8" fillId="0" borderId="7" xfId="17" applyFont="1" applyBorder="1" applyAlignment="1">
      <alignment horizontal="left" wrapText="1"/>
      <protection/>
    </xf>
    <xf numFmtId="0" fontId="8" fillId="0" borderId="8" xfId="17" applyFont="1" applyBorder="1" applyAlignment="1">
      <alignment horizontal="left" wrapText="1"/>
      <protection/>
    </xf>
    <xf numFmtId="0" fontId="0" fillId="0" borderId="8" xfId="0" applyBorder="1" applyAlignment="1">
      <alignment wrapText="1"/>
    </xf>
    <xf numFmtId="0" fontId="0" fillId="0" borderId="2" xfId="17" applyFont="1" applyBorder="1" applyAlignment="1">
      <alignment wrapText="1"/>
      <protection/>
    </xf>
    <xf numFmtId="0" fontId="0" fillId="0" borderId="5" xfId="17" applyFont="1" applyBorder="1" applyAlignment="1">
      <alignment wrapText="1"/>
      <protection/>
    </xf>
    <xf numFmtId="0" fontId="14" fillId="0" borderId="2" xfId="17" applyFont="1" applyBorder="1" applyAlignment="1">
      <alignment wrapText="1"/>
      <protection/>
    </xf>
    <xf numFmtId="0" fontId="14" fillId="0" borderId="5" xfId="17" applyFont="1" applyBorder="1" applyAlignment="1">
      <alignment wrapText="1"/>
      <protection/>
    </xf>
    <xf numFmtId="0" fontId="8" fillId="0" borderId="2" xfId="17" applyFont="1" applyBorder="1" applyAlignment="1">
      <alignment horizontal="center" vertical="center" wrapText="1" shrinkToFit="1"/>
      <protection/>
    </xf>
    <xf numFmtId="0" fontId="8" fillId="0" borderId="5" xfId="17" applyFont="1" applyBorder="1" applyAlignment="1">
      <alignment horizontal="center" vertical="center" wrapText="1" shrinkToFit="1"/>
      <protection/>
    </xf>
    <xf numFmtId="0" fontId="0" fillId="0" borderId="2" xfId="17" applyFont="1" applyBorder="1" applyAlignment="1">
      <alignment vertical="top" wrapText="1"/>
      <protection/>
    </xf>
    <xf numFmtId="0" fontId="0" fillId="0" borderId="5" xfId="17" applyFont="1" applyBorder="1" applyAlignment="1">
      <alignment vertical="top" wrapText="1"/>
      <protection/>
    </xf>
    <xf numFmtId="0" fontId="0" fillId="0" borderId="13" xfId="17" applyFont="1" applyBorder="1" applyAlignment="1">
      <alignment wrapText="1"/>
      <protection/>
    </xf>
    <xf numFmtId="0" fontId="0" fillId="0" borderId="14" xfId="17" applyFont="1" applyBorder="1" applyAlignment="1">
      <alignment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1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2" xfId="17" applyFont="1" applyBorder="1" applyAlignment="1">
      <alignment vertical="top" wrapText="1"/>
      <protection/>
    </xf>
    <xf numFmtId="0" fontId="0" fillId="0" borderId="5" xfId="0" applyBorder="1" applyAlignment="1">
      <alignment vertical="top" wrapText="1"/>
    </xf>
    <xf numFmtId="0" fontId="0" fillId="0" borderId="2" xfId="17" applyFont="1" applyBorder="1" applyAlignment="1">
      <alignment vertical="top" wrapText="1"/>
      <protection/>
    </xf>
    <xf numFmtId="0" fontId="0" fillId="0" borderId="5" xfId="17" applyFont="1" applyBorder="1" applyAlignment="1">
      <alignment vertical="top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7" xfId="17" applyFont="1" applyBorder="1" applyAlignment="1">
      <alignment vertical="top" wrapText="1"/>
      <protection/>
    </xf>
    <xf numFmtId="0" fontId="6" fillId="0" borderId="8" xfId="17" applyFont="1" applyBorder="1" applyAlignment="1">
      <alignment vertical="top" wrapText="1"/>
      <protection/>
    </xf>
    <xf numFmtId="0" fontId="4" fillId="0" borderId="15" xfId="17" applyFont="1" applyBorder="1" applyAlignment="1">
      <alignment horizontal="center" vertical="center" wrapText="1"/>
      <protection/>
    </xf>
    <xf numFmtId="0" fontId="1" fillId="0" borderId="15" xfId="17" applyFont="1" applyBorder="1" applyAlignment="1">
      <alignment horizontal="center" vertical="center" wrapText="1"/>
      <protection/>
    </xf>
    <xf numFmtId="0" fontId="0" fillId="0" borderId="5" xfId="0" applyBorder="1" applyAlignment="1">
      <alignment wrapText="1"/>
    </xf>
    <xf numFmtId="0" fontId="7" fillId="0" borderId="5" xfId="17" applyFont="1" applyBorder="1" applyAlignment="1">
      <alignment vertical="top" wrapText="1"/>
      <protection/>
    </xf>
    <xf numFmtId="0" fontId="9" fillId="0" borderId="2" xfId="17" applyFont="1" applyBorder="1" applyAlignment="1">
      <alignment horizontal="left" wrapText="1"/>
      <protection/>
    </xf>
    <xf numFmtId="0" fontId="9" fillId="0" borderId="5" xfId="17" applyFont="1" applyBorder="1" applyAlignment="1">
      <alignment horizontal="left" wrapText="1"/>
      <protection/>
    </xf>
    <xf numFmtId="0" fontId="7" fillId="0" borderId="2" xfId="17" applyFont="1" applyBorder="1" applyAlignment="1">
      <alignment horizontal="left" wrapText="1"/>
      <protection/>
    </xf>
    <xf numFmtId="0" fontId="7" fillId="0" borderId="5" xfId="17" applyFont="1" applyBorder="1" applyAlignment="1">
      <alignment horizontal="left" wrapText="1"/>
      <protection/>
    </xf>
    <xf numFmtId="0" fontId="6" fillId="0" borderId="3" xfId="17" applyFont="1" applyBorder="1" applyAlignment="1">
      <alignment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6">
      <selection activeCell="A41" sqref="A41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1:5" ht="12.75">
      <c r="A3" s="78"/>
      <c r="B3" s="78"/>
      <c r="C3" s="78" t="s">
        <v>74</v>
      </c>
      <c r="D3" s="78"/>
      <c r="E3" s="78"/>
    </row>
    <row r="4" spans="1:5" ht="12.75">
      <c r="A4" s="78"/>
      <c r="B4" s="78"/>
      <c r="C4" s="78"/>
      <c r="D4" s="78"/>
      <c r="E4" s="78"/>
    </row>
    <row r="5" spans="1:5" ht="12.75">
      <c r="A5" s="78"/>
      <c r="B5" s="78"/>
      <c r="C5" s="78"/>
      <c r="D5" s="78"/>
      <c r="E5" s="78"/>
    </row>
    <row r="6" spans="1:15" ht="22.5" customHeight="1">
      <c r="A6" s="150" t="s">
        <v>154</v>
      </c>
      <c r="B6" s="151"/>
      <c r="C6" s="151"/>
      <c r="D6" s="151"/>
      <c r="E6" s="15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03" t="s">
        <v>742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2561.7</v>
      </c>
      <c r="B12" s="58">
        <v>196.8</v>
      </c>
      <c r="C12" s="58">
        <v>1330</v>
      </c>
      <c r="D12" s="58"/>
      <c r="E12" s="58">
        <v>1658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743</v>
      </c>
      <c r="C14" s="157" t="s">
        <v>744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745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79773.58619999998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750</v>
      </c>
      <c r="B20" s="149"/>
      <c r="C20" s="149"/>
      <c r="D20" s="43"/>
      <c r="E20" s="44">
        <f>0.485*5800*1.75*1.263*12</f>
        <v>74609.199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756</v>
      </c>
      <c r="B21" s="144"/>
      <c r="C21" s="144"/>
      <c r="D21" s="20"/>
      <c r="E21" s="25">
        <f>0.04*A12*12</f>
        <v>1229.616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746</v>
      </c>
      <c r="B22" s="144"/>
      <c r="C22" s="144"/>
      <c r="D22" s="20"/>
      <c r="E22" s="25">
        <f>0.028*A12*12</f>
        <v>860.7312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757</v>
      </c>
      <c r="B23" s="144"/>
      <c r="C23" s="144"/>
      <c r="D23" s="136"/>
      <c r="E23" s="26">
        <f>0.1*A12*12</f>
        <v>3074.04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42870.1968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751</v>
      </c>
      <c r="B25" s="144"/>
      <c r="C25" s="144"/>
      <c r="D25" s="20"/>
      <c r="E25" s="25">
        <f>110*1.5*90.3</f>
        <v>14899.5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752</v>
      </c>
      <c r="B26" s="144"/>
      <c r="C26" s="144"/>
      <c r="D26" s="20"/>
      <c r="E26" s="25">
        <f>110*1.5*35.02</f>
        <v>5778.3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753</v>
      </c>
      <c r="B27" s="144"/>
      <c r="C27" s="144"/>
      <c r="D27" s="20"/>
      <c r="E27" s="26">
        <f>3300*2.73</f>
        <v>9009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747</v>
      </c>
      <c r="B28" s="144"/>
      <c r="C28" s="144"/>
      <c r="D28" s="20"/>
      <c r="E28" s="25">
        <f>0.002*A12*12</f>
        <v>61.4808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748</v>
      </c>
      <c r="B29" s="144"/>
      <c r="C29" s="144"/>
      <c r="D29" s="20"/>
      <c r="E29" s="25">
        <f>0.29*A12*12</f>
        <v>8914.715999999999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650</v>
      </c>
      <c r="B30" s="144"/>
      <c r="C30" s="144"/>
      <c r="D30" s="20"/>
      <c r="E30" s="26">
        <f>60*5.44+60*16.17*4</f>
        <v>4207.2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163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116550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754</v>
      </c>
      <c r="D33" s="29"/>
      <c r="E33" s="18">
        <f>0.9*A12*12</f>
        <v>27666.359999999997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37" t="s">
        <v>609</v>
      </c>
      <c r="B34" s="138"/>
      <c r="C34" s="138"/>
      <c r="D34" s="29" t="s">
        <v>755</v>
      </c>
      <c r="E34" s="18">
        <f>1.24*A12*12</f>
        <v>38118.096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749</v>
      </c>
      <c r="D35" s="37"/>
      <c r="E35" s="8">
        <f>0.003*A12*12</f>
        <v>92.2212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305070.4602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18304.227612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323374.687812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E38/A12/12</f>
        <v>10.51953415739548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2" t="s">
        <v>185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7">
      <selection activeCell="C1" sqref="C1:E3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183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2351.2</v>
      </c>
      <c r="B12" s="58">
        <v>237.2</v>
      </c>
      <c r="C12" s="58">
        <v>763.9</v>
      </c>
      <c r="D12" s="58"/>
      <c r="E12" s="58">
        <v>1123.3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166</v>
      </c>
      <c r="C14" s="157" t="s">
        <v>168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167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49316.380000000005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100</v>
      </c>
      <c r="B20" s="149"/>
      <c r="C20" s="149"/>
      <c r="D20" s="43"/>
      <c r="E20" s="44">
        <v>44576.36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169</v>
      </c>
      <c r="B21" s="144"/>
      <c r="C21" s="144"/>
      <c r="D21" s="20"/>
      <c r="E21" s="25">
        <v>1128.58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172</v>
      </c>
      <c r="B22" s="144"/>
      <c r="C22" s="144"/>
      <c r="D22" s="20"/>
      <c r="E22" s="25">
        <v>790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170</v>
      </c>
      <c r="B23" s="144"/>
      <c r="C23" s="144"/>
      <c r="D23" s="136"/>
      <c r="E23" s="26">
        <v>2821.44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E25+E26+E27+E28+E30+E31+E32+E29</f>
        <v>46006.91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101</v>
      </c>
      <c r="B25" s="144"/>
      <c r="C25" s="144"/>
      <c r="D25" s="20"/>
      <c r="E25" s="25">
        <v>12867.75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102</v>
      </c>
      <c r="B26" s="144"/>
      <c r="C26" s="144"/>
      <c r="D26" s="20"/>
      <c r="E26" s="25">
        <v>4990.35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103</v>
      </c>
      <c r="B27" s="144"/>
      <c r="C27" s="144"/>
      <c r="D27" s="20"/>
      <c r="E27" s="26">
        <v>16107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161</v>
      </c>
      <c r="B28" s="144"/>
      <c r="C28" s="144"/>
      <c r="D28" s="20"/>
      <c r="E28" s="25">
        <v>56.43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171</v>
      </c>
      <c r="B29" s="144"/>
      <c r="C29" s="144"/>
      <c r="D29" s="20"/>
      <c r="E29" s="25">
        <v>998.4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173</v>
      </c>
      <c r="B30" s="144"/>
      <c r="C30" s="144"/>
      <c r="D30" s="20"/>
      <c r="E30" s="25">
        <v>8182.18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104</v>
      </c>
      <c r="B31" s="144"/>
      <c r="C31" s="144"/>
      <c r="D31" s="20"/>
      <c r="E31" s="26">
        <v>2804.8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163</v>
      </c>
      <c r="B32" s="28" t="s">
        <v>162</v>
      </c>
      <c r="C32" s="28"/>
      <c r="D32" s="20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5" t="s">
        <v>143</v>
      </c>
      <c r="B33" s="135"/>
      <c r="C33" s="135"/>
      <c r="D33" s="29"/>
      <c r="E33" s="8">
        <v>112510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159</v>
      </c>
      <c r="B34" s="53"/>
      <c r="C34" s="53" t="s">
        <v>105</v>
      </c>
      <c r="D34" s="29"/>
      <c r="E34" s="18">
        <v>25392.96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37" t="s">
        <v>164</v>
      </c>
      <c r="B35" s="138"/>
      <c r="C35" s="138"/>
      <c r="D35" s="29" t="s">
        <v>106</v>
      </c>
      <c r="E35" s="18">
        <v>34985.86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146</v>
      </c>
      <c r="B36" s="36"/>
      <c r="C36" s="36" t="s">
        <v>174</v>
      </c>
      <c r="D36" s="37"/>
      <c r="E36" s="8">
        <v>84.64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39" t="s">
        <v>147</v>
      </c>
      <c r="B37" s="140"/>
      <c r="C37" s="140"/>
      <c r="D37" s="29"/>
      <c r="E37" s="8">
        <f>E36+E35+E34+E33+E24+E18</f>
        <v>268296.75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1" t="s">
        <v>323</v>
      </c>
      <c r="B38" s="142"/>
      <c r="C38" s="142"/>
      <c r="D38" s="29"/>
      <c r="E38" s="19">
        <f>E37*0.06</f>
        <v>16097.805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39" t="s">
        <v>149</v>
      </c>
      <c r="B39" s="140"/>
      <c r="C39" s="140"/>
      <c r="D39" s="29"/>
      <c r="E39" s="8">
        <f>SUM(E37:E38)</f>
        <v>284394.555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139</v>
      </c>
      <c r="B40" s="38"/>
      <c r="C40" s="39"/>
      <c r="D40" s="8"/>
      <c r="E40" s="117">
        <f>E39/A12/12</f>
        <v>10.079766183225587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72" t="s">
        <v>185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38:C38"/>
    <mergeCell ref="A39:C39"/>
    <mergeCell ref="A35:C35"/>
    <mergeCell ref="A33:C33"/>
    <mergeCell ref="A37:C37"/>
    <mergeCell ref="A30:C30"/>
    <mergeCell ref="A31:C31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35" sqref="E35"/>
    </sheetView>
  </sheetViews>
  <sheetFormatPr defaultColWidth="9.00390625" defaultRowHeight="12.75"/>
  <cols>
    <col min="1" max="1" width="18.00390625" style="78" customWidth="1"/>
    <col min="2" max="2" width="18.375" style="78" customWidth="1"/>
    <col min="3" max="3" width="16.00390625" style="78" customWidth="1"/>
    <col min="4" max="4" width="15.125" style="78" customWidth="1"/>
    <col min="5" max="5" width="13.625" style="78" customWidth="1"/>
    <col min="6" max="16384" width="9.125" style="78" customWidth="1"/>
  </cols>
  <sheetData>
    <row r="1" ht="12.75">
      <c r="C1" s="78" t="s">
        <v>142</v>
      </c>
    </row>
    <row r="2" ht="12.75">
      <c r="C2" s="78" t="s">
        <v>369</v>
      </c>
    </row>
    <row r="3" spans="1:5" ht="15">
      <c r="A3"/>
      <c r="B3"/>
      <c r="C3" s="54" t="s">
        <v>74</v>
      </c>
      <c r="D3" s="54"/>
      <c r="E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5.75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5">
      <c r="A8" s="103" t="s">
        <v>653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86"/>
      <c r="C10" s="186"/>
      <c r="D10" s="186"/>
      <c r="E10" s="187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3186.2</v>
      </c>
      <c r="B12" s="82">
        <v>487.7</v>
      </c>
      <c r="C12" s="82">
        <v>1044</v>
      </c>
      <c r="D12" s="82"/>
      <c r="E12" s="82">
        <v>2004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654</v>
      </c>
      <c r="C14" s="157" t="s">
        <v>655</v>
      </c>
      <c r="D14" s="21"/>
      <c r="E14" s="51"/>
    </row>
    <row r="15" spans="1:5" ht="12.75">
      <c r="A15" s="178"/>
      <c r="B15" s="9" t="s">
        <v>656</v>
      </c>
      <c r="C15" s="158"/>
      <c r="D15" s="118"/>
      <c r="E15" s="51"/>
    </row>
    <row r="16" spans="1:5" ht="12.75">
      <c r="A16" s="119"/>
      <c r="B16" s="74"/>
      <c r="C16" s="21"/>
      <c r="D16" s="118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68" t="s">
        <v>124</v>
      </c>
      <c r="B18" s="169"/>
      <c r="C18" s="169"/>
      <c r="D18" s="46"/>
      <c r="E18" s="84" t="s">
        <v>128</v>
      </c>
    </row>
    <row r="19" spans="1:5" ht="12.75">
      <c r="A19" s="85" t="s">
        <v>125</v>
      </c>
      <c r="B19" s="86"/>
      <c r="C19" s="86"/>
      <c r="D19" s="87"/>
      <c r="E19" s="88">
        <f>E21+E22+E23+E24</f>
        <v>59649.7356</v>
      </c>
    </row>
    <row r="20" spans="1:5" ht="12.75">
      <c r="A20" s="184" t="s">
        <v>137</v>
      </c>
      <c r="B20" s="185"/>
      <c r="C20" s="185"/>
      <c r="D20" s="120"/>
      <c r="E20" s="121"/>
    </row>
    <row r="21" spans="1:5" ht="12.75">
      <c r="A21" s="172" t="s">
        <v>661</v>
      </c>
      <c r="B21" s="173"/>
      <c r="C21" s="173"/>
      <c r="D21" s="122"/>
      <c r="E21" s="44">
        <f>0.346*5800*1.75*1.263*12</f>
        <v>53226.356400000004</v>
      </c>
    </row>
    <row r="22" spans="1:5" ht="12.75" customHeight="1">
      <c r="A22" s="143" t="s">
        <v>662</v>
      </c>
      <c r="B22" s="144"/>
      <c r="C22" s="144"/>
      <c r="D22" s="20"/>
      <c r="E22" s="25">
        <f>0.04*A12*12</f>
        <v>1529.376</v>
      </c>
    </row>
    <row r="23" spans="1:5" ht="12.75" customHeight="1">
      <c r="A23" s="143" t="s">
        <v>657</v>
      </c>
      <c r="B23" s="144"/>
      <c r="C23" s="144"/>
      <c r="D23" s="20"/>
      <c r="E23" s="25">
        <f>0.028*A12*12</f>
        <v>1070.5632</v>
      </c>
    </row>
    <row r="24" spans="1:5" ht="12.75" customHeight="1">
      <c r="A24" s="143" t="s">
        <v>663</v>
      </c>
      <c r="B24" s="144"/>
      <c r="C24" s="144"/>
      <c r="D24" s="136"/>
      <c r="E24" s="26">
        <f>0.1*A12*12</f>
        <v>3823.44</v>
      </c>
    </row>
    <row r="25" spans="1:5" ht="12.75">
      <c r="A25" s="166" t="s">
        <v>126</v>
      </c>
      <c r="B25" s="167"/>
      <c r="C25" s="167"/>
      <c r="D25" s="121"/>
      <c r="E25" s="18">
        <f>E26+E27+E28+E29+E31+E32+E33+E30</f>
        <v>69661.50480000001</v>
      </c>
    </row>
    <row r="26" spans="1:5" ht="12.75">
      <c r="A26" s="164" t="s">
        <v>664</v>
      </c>
      <c r="B26" s="165"/>
      <c r="C26" s="165"/>
      <c r="D26" s="121"/>
      <c r="E26" s="25">
        <f>98*1.5*90.3</f>
        <v>13274.1</v>
      </c>
    </row>
    <row r="27" spans="1:5" ht="12.75">
      <c r="A27" s="164" t="s">
        <v>665</v>
      </c>
      <c r="B27" s="165"/>
      <c r="C27" s="165"/>
      <c r="D27" s="121"/>
      <c r="E27" s="25">
        <f>92*1.5*35.02</f>
        <v>4832.76</v>
      </c>
    </row>
    <row r="28" spans="1:5" ht="12.75">
      <c r="A28" s="164" t="s">
        <v>666</v>
      </c>
      <c r="B28" s="165"/>
      <c r="C28" s="165"/>
      <c r="D28" s="121"/>
      <c r="E28" s="26">
        <f>11500*2.73</f>
        <v>31395</v>
      </c>
    </row>
    <row r="29" spans="1:5" ht="12.75">
      <c r="A29" s="164" t="s">
        <v>658</v>
      </c>
      <c r="B29" s="165"/>
      <c r="C29" s="165"/>
      <c r="D29" s="121"/>
      <c r="E29" s="25">
        <f>0.002*A12*12</f>
        <v>76.4688</v>
      </c>
    </row>
    <row r="30" spans="1:5" ht="12.75">
      <c r="A30" s="143" t="s">
        <v>667</v>
      </c>
      <c r="B30" s="144"/>
      <c r="C30" s="144"/>
      <c r="D30" s="121"/>
      <c r="E30" s="25">
        <f>1.44*1020</f>
        <v>1468.8</v>
      </c>
    </row>
    <row r="31" spans="1:5" ht="12.75">
      <c r="A31" s="164" t="s">
        <v>659</v>
      </c>
      <c r="B31" s="165"/>
      <c r="C31" s="165"/>
      <c r="D31" s="121"/>
      <c r="E31" s="25">
        <f>0.29*A12*12</f>
        <v>11087.975999999999</v>
      </c>
    </row>
    <row r="32" spans="1:5" ht="12.75">
      <c r="A32" s="164" t="s">
        <v>113</v>
      </c>
      <c r="B32" s="165"/>
      <c r="C32" s="165"/>
      <c r="D32" s="121"/>
      <c r="E32" s="26">
        <f>60*5.44</f>
        <v>326.40000000000003</v>
      </c>
    </row>
    <row r="33" spans="1:5" ht="16.5" customHeight="1">
      <c r="A33" s="92" t="s">
        <v>163</v>
      </c>
      <c r="B33" s="93" t="s">
        <v>271</v>
      </c>
      <c r="C33" s="93"/>
      <c r="D33" s="121"/>
      <c r="E33" s="5">
        <f>60*120</f>
        <v>7200</v>
      </c>
    </row>
    <row r="34" spans="1:5" ht="16.5" customHeight="1">
      <c r="A34" s="145" t="s">
        <v>143</v>
      </c>
      <c r="B34" s="135"/>
      <c r="C34" s="135"/>
      <c r="D34" s="104"/>
      <c r="E34" s="105">
        <v>168200</v>
      </c>
    </row>
    <row r="35" spans="1:5" ht="12.75" customHeight="1">
      <c r="A35" s="30" t="s">
        <v>144</v>
      </c>
      <c r="B35" s="163" t="s">
        <v>668</v>
      </c>
      <c r="C35" s="163"/>
      <c r="D35" s="29"/>
      <c r="E35" s="8">
        <f>0.9*A12*12</f>
        <v>34410.96</v>
      </c>
    </row>
    <row r="36" spans="1:5" ht="12.75">
      <c r="A36" s="31" t="s">
        <v>145</v>
      </c>
      <c r="B36" s="32"/>
      <c r="C36" s="33" t="s">
        <v>669</v>
      </c>
      <c r="D36" s="34"/>
      <c r="E36" s="18">
        <f>1.24*A12*12</f>
        <v>47410.656</v>
      </c>
    </row>
    <row r="37" spans="1:5" ht="12.75">
      <c r="A37" s="97" t="s">
        <v>146</v>
      </c>
      <c r="B37" s="123"/>
      <c r="C37" s="123" t="s">
        <v>660</v>
      </c>
      <c r="D37" s="124"/>
      <c r="E37" s="8">
        <f>0.003*A12*12</f>
        <v>114.70320000000001</v>
      </c>
    </row>
    <row r="38" spans="1:5" ht="12.75">
      <c r="A38" s="161" t="s">
        <v>147</v>
      </c>
      <c r="B38" s="162"/>
      <c r="C38" s="162"/>
      <c r="D38" s="125"/>
      <c r="E38" s="8">
        <f>E37+E36+E35+E25+E19+E34</f>
        <v>379447.55960000004</v>
      </c>
    </row>
    <row r="39" spans="1:5" ht="12.75" customHeight="1">
      <c r="A39" s="141" t="s">
        <v>323</v>
      </c>
      <c r="B39" s="142"/>
      <c r="C39" s="142"/>
      <c r="D39" s="125"/>
      <c r="E39" s="19">
        <f>E38*0.06</f>
        <v>22766.853576</v>
      </c>
    </row>
    <row r="40" spans="1:5" ht="12.75">
      <c r="A40" s="161" t="s">
        <v>149</v>
      </c>
      <c r="B40" s="162"/>
      <c r="C40" s="162"/>
      <c r="D40" s="125"/>
      <c r="E40" s="8">
        <f>SUM(E38:E39)</f>
        <v>402214.41317600006</v>
      </c>
    </row>
    <row r="41" spans="1:5" ht="12.75">
      <c r="A41" s="101" t="s">
        <v>139</v>
      </c>
      <c r="B41" s="38"/>
      <c r="C41" s="39"/>
      <c r="D41" s="8"/>
      <c r="E41" s="117">
        <f>E40/A12/12</f>
        <v>10.519699882200324</v>
      </c>
    </row>
    <row r="42" spans="1:5" ht="12.75">
      <c r="A42" s="102"/>
      <c r="B42" s="11"/>
      <c r="C42" s="12"/>
      <c r="D42" s="12"/>
      <c r="E42" s="51"/>
    </row>
  </sheetData>
  <mergeCells count="23">
    <mergeCell ref="A18:C18"/>
    <mergeCell ref="A20:C20"/>
    <mergeCell ref="A21:C21"/>
    <mergeCell ref="A6:E6"/>
    <mergeCell ref="A10:E10"/>
    <mergeCell ref="A14:A15"/>
    <mergeCell ref="C14:C15"/>
    <mergeCell ref="A22:C22"/>
    <mergeCell ref="A23:C23"/>
    <mergeCell ref="A24:D24"/>
    <mergeCell ref="A25:C25"/>
    <mergeCell ref="A30:C30"/>
    <mergeCell ref="A31:C31"/>
    <mergeCell ref="A32:C32"/>
    <mergeCell ref="A26:C26"/>
    <mergeCell ref="A27:C27"/>
    <mergeCell ref="A28:C28"/>
    <mergeCell ref="A29:C29"/>
    <mergeCell ref="A39:C39"/>
    <mergeCell ref="A40:C40"/>
    <mergeCell ref="A34:C34"/>
    <mergeCell ref="B35:C35"/>
    <mergeCell ref="A38:C3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7" sqref="A37:C37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2.75">
      <c r="C3" s="78" t="s">
        <v>74</v>
      </c>
      <c r="D3" s="78"/>
      <c r="E3" s="78"/>
    </row>
    <row r="6" spans="1:5" ht="22.5" customHeight="1">
      <c r="A6" s="179" t="s">
        <v>154</v>
      </c>
      <c r="B6" s="180"/>
      <c r="C6" s="180"/>
      <c r="D6" s="180"/>
      <c r="E6" s="180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127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370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52" t="s">
        <v>131</v>
      </c>
      <c r="B12" s="153"/>
      <c r="C12" s="153"/>
      <c r="D12" s="153"/>
      <c r="E12" s="154"/>
      <c r="F12" s="24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132</v>
      </c>
      <c r="B13" s="17" t="s">
        <v>133</v>
      </c>
      <c r="C13" s="17" t="s">
        <v>134</v>
      </c>
      <c r="D13" s="17" t="s">
        <v>135</v>
      </c>
      <c r="E13" s="17" t="s">
        <v>129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0">
        <v>310.2</v>
      </c>
      <c r="B14" s="6"/>
      <c r="C14" s="6"/>
      <c r="D14" s="6"/>
      <c r="E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77"/>
      <c r="B16" s="74"/>
      <c r="C16" s="7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3" t="s">
        <v>124</v>
      </c>
      <c r="B18" s="134"/>
      <c r="C18" s="134"/>
      <c r="D18" s="46"/>
      <c r="E18" s="47" t="s">
        <v>128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125</v>
      </c>
      <c r="B19" s="41"/>
      <c r="C19" s="41"/>
      <c r="D19" s="42"/>
      <c r="E19" s="23">
        <f>E21+E22+E23+E24</f>
        <v>1455.3036000000002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6" t="s">
        <v>371</v>
      </c>
      <c r="B20" s="147"/>
      <c r="C20" s="147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8" t="s">
        <v>390</v>
      </c>
      <c r="B21" s="149"/>
      <c r="C21" s="149"/>
      <c r="D21" s="43"/>
      <c r="E21" s="44">
        <f>0.006*5800*1.75*1.263*12</f>
        <v>923.0004000000001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378</v>
      </c>
      <c r="B22" s="144"/>
      <c r="C22" s="144"/>
      <c r="D22" s="20"/>
      <c r="E22" s="25">
        <f>0.025*A14*12</f>
        <v>93.06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372</v>
      </c>
      <c r="B23" s="144"/>
      <c r="C23" s="144"/>
      <c r="D23" s="20"/>
      <c r="E23" s="25">
        <f>0.028*A14*12</f>
        <v>104.22719999999998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43" t="s">
        <v>379</v>
      </c>
      <c r="B24" s="144"/>
      <c r="C24" s="144"/>
      <c r="D24" s="136"/>
      <c r="E24" s="26">
        <f>0.09*A14*12</f>
        <v>335.01599999999996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1" t="s">
        <v>126</v>
      </c>
      <c r="B25" s="132"/>
      <c r="C25" s="132"/>
      <c r="D25" s="20"/>
      <c r="E25" s="18">
        <f>E26+E27+E28+E29+E30+E31</f>
        <v>3628.4208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373</v>
      </c>
      <c r="B26" s="144"/>
      <c r="C26" s="144"/>
      <c r="D26" s="20"/>
      <c r="E26" s="25">
        <f>9*1.5*90.3</f>
        <v>1219.05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374</v>
      </c>
      <c r="B27" s="144"/>
      <c r="C27" s="144"/>
      <c r="D27" s="20"/>
      <c r="E27" s="25">
        <f>13.5*35.02</f>
        <v>472.77000000000004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375</v>
      </c>
      <c r="B28" s="144"/>
      <c r="C28" s="144"/>
      <c r="D28" s="20"/>
      <c r="E28" s="25">
        <f>0.002*A14*12</f>
        <v>7.444799999999999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376</v>
      </c>
      <c r="B29" s="144"/>
      <c r="C29" s="144"/>
      <c r="D29" s="20"/>
      <c r="E29" s="25">
        <f>0.29*A14*12</f>
        <v>1079.4959999999999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380</v>
      </c>
      <c r="B30" s="144"/>
      <c r="C30" s="144"/>
      <c r="D30" s="20"/>
      <c r="E30" s="76">
        <f>6*5.44+(6*16.17)</f>
        <v>129.66000000000003</v>
      </c>
      <c r="F30" s="75"/>
      <c r="G30" s="75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404</v>
      </c>
      <c r="C31" s="28"/>
      <c r="D31" s="20"/>
      <c r="E31" s="5">
        <f>6*120</f>
        <v>720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17750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0" t="s">
        <v>144</v>
      </c>
      <c r="B33" s="163" t="s">
        <v>381</v>
      </c>
      <c r="C33" s="163"/>
      <c r="D33" s="29"/>
      <c r="E33" s="18">
        <f>0.9*A14*12</f>
        <v>3350.16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1" t="s">
        <v>145</v>
      </c>
      <c r="B34" s="32"/>
      <c r="C34" s="33" t="s">
        <v>382</v>
      </c>
      <c r="D34" s="34"/>
      <c r="E34" s="18">
        <f>1.24*A14*12</f>
        <v>4615.776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377</v>
      </c>
      <c r="D35" s="37"/>
      <c r="E35" s="18">
        <f>0.003*A14*12</f>
        <v>11.1672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E35+E34+E33+E32+E25+E19</f>
        <v>30810.827599999997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1848.6496559999998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138</v>
      </c>
      <c r="B38" s="140"/>
      <c r="C38" s="140"/>
      <c r="D38" s="29"/>
      <c r="E38" s="8">
        <f>SUM(E36:E37)</f>
        <v>32659.477256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55">
        <f>E38/A14/12</f>
        <v>8.773768873844832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7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7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7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>
      <c r="A43" s="10"/>
      <c r="B43" s="11"/>
      <c r="C43" s="73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"/>
      <c r="B44" s="11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4"/>
      <c r="C47" s="15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 t="s">
        <v>127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9">
    <mergeCell ref="B33:C33"/>
    <mergeCell ref="A36:C36"/>
    <mergeCell ref="A37:C37"/>
    <mergeCell ref="A38:C38"/>
    <mergeCell ref="A29:C29"/>
    <mergeCell ref="A30:C30"/>
    <mergeCell ref="A32:C32"/>
    <mergeCell ref="A25:C25"/>
    <mergeCell ref="A26:C26"/>
    <mergeCell ref="A27:C27"/>
    <mergeCell ref="A28:C28"/>
    <mergeCell ref="A21:C21"/>
    <mergeCell ref="A22:C22"/>
    <mergeCell ref="A23:C23"/>
    <mergeCell ref="A24:D24"/>
    <mergeCell ref="A6:E6"/>
    <mergeCell ref="A12:E12"/>
    <mergeCell ref="A18:C18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0">
      <selection activeCell="L12" sqref="L12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183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628.1</v>
      </c>
      <c r="B12" s="58">
        <v>47.6</v>
      </c>
      <c r="C12" s="58">
        <v>355</v>
      </c>
      <c r="D12" s="58"/>
      <c r="E12" s="58">
        <v>320.5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77</v>
      </c>
      <c r="C14" s="157" t="s">
        <v>79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78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20494.430000000004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95</v>
      </c>
      <c r="B20" s="149"/>
      <c r="C20" s="149"/>
      <c r="D20" s="43"/>
      <c r="E20" s="44">
        <v>19229.18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80</v>
      </c>
      <c r="B21" s="144"/>
      <c r="C21" s="144"/>
      <c r="D21" s="20"/>
      <c r="E21" s="25">
        <v>301.49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81</v>
      </c>
      <c r="B22" s="144"/>
      <c r="C22" s="144"/>
      <c r="D22" s="20"/>
      <c r="E22" s="25">
        <v>210.04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82</v>
      </c>
      <c r="B23" s="144"/>
      <c r="C23" s="144"/>
      <c r="D23" s="136"/>
      <c r="E23" s="26">
        <v>753.72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E25+E26+E27+E28+E30+E31+E32+E29</f>
        <v>16847.02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83</v>
      </c>
      <c r="B25" s="144"/>
      <c r="C25" s="144"/>
      <c r="D25" s="20"/>
      <c r="E25" s="25">
        <v>4876.2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84</v>
      </c>
      <c r="B26" s="144"/>
      <c r="C26" s="144"/>
      <c r="D26" s="20"/>
      <c r="E26" s="25">
        <f>36*1.5*35.02</f>
        <v>1891.0800000000002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85</v>
      </c>
      <c r="B27" s="144"/>
      <c r="C27" s="144"/>
      <c r="D27" s="20"/>
      <c r="E27" s="26">
        <f>1580*2.73</f>
        <v>4313.4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86</v>
      </c>
      <c r="B28" s="144"/>
      <c r="C28" s="144"/>
      <c r="D28" s="20"/>
      <c r="E28" s="25">
        <v>15.07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87</v>
      </c>
      <c r="B29" s="144"/>
      <c r="C29" s="144"/>
      <c r="D29" s="20"/>
      <c r="E29" s="25">
        <v>523.56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88</v>
      </c>
      <c r="B30" s="144"/>
      <c r="C30" s="144"/>
      <c r="D30" s="20"/>
      <c r="E30" s="25">
        <v>2185.79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89</v>
      </c>
      <c r="B31" s="144"/>
      <c r="C31" s="144"/>
      <c r="D31" s="20"/>
      <c r="E31" s="26">
        <v>1121.92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163</v>
      </c>
      <c r="B32" s="28" t="s">
        <v>90</v>
      </c>
      <c r="C32" s="28"/>
      <c r="D32" s="20"/>
      <c r="E32" s="5">
        <v>1920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5" t="s">
        <v>143</v>
      </c>
      <c r="B33" s="135"/>
      <c r="C33" s="135"/>
      <c r="D33" s="29"/>
      <c r="E33" s="8">
        <v>21309.48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159</v>
      </c>
      <c r="B34" s="53"/>
      <c r="C34" s="53" t="s">
        <v>91</v>
      </c>
      <c r="D34" s="29"/>
      <c r="E34" s="18">
        <v>6783.48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37" t="s">
        <v>92</v>
      </c>
      <c r="B35" s="138"/>
      <c r="C35" s="138"/>
      <c r="D35" s="29" t="s">
        <v>98</v>
      </c>
      <c r="E35" s="18">
        <f>1.24*A12*12</f>
        <v>9346.128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93</v>
      </c>
      <c r="B36" s="36"/>
      <c r="C36" s="36" t="s">
        <v>94</v>
      </c>
      <c r="D36" s="37"/>
      <c r="E36" s="8">
        <v>22.61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39" t="s">
        <v>147</v>
      </c>
      <c r="B37" s="140"/>
      <c r="C37" s="140"/>
      <c r="D37" s="29"/>
      <c r="E37" s="8">
        <f>E36+E35+E34+E33+E24+E18</f>
        <v>74803.14800000002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1" t="s">
        <v>148</v>
      </c>
      <c r="B38" s="142"/>
      <c r="C38" s="142"/>
      <c r="D38" s="29"/>
      <c r="E38" s="19">
        <f>E37*0.06</f>
        <v>4488.188880000001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39" t="s">
        <v>149</v>
      </c>
      <c r="B39" s="140"/>
      <c r="C39" s="140"/>
      <c r="D39" s="29"/>
      <c r="E39" s="8">
        <f>SUM(E37:E38)</f>
        <v>79291.33688000002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139</v>
      </c>
      <c r="B40" s="38"/>
      <c r="C40" s="39"/>
      <c r="D40" s="8"/>
      <c r="E40" s="55">
        <f>E39/A12/12</f>
        <v>10.519999055352121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39:C39"/>
    <mergeCell ref="A33:C33"/>
    <mergeCell ref="A35:C35"/>
    <mergeCell ref="A37:C37"/>
    <mergeCell ref="A38:C38"/>
    <mergeCell ref="A30:C30"/>
    <mergeCell ref="A31:C31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4">
      <selection activeCell="G40" sqref="G40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2.75">
      <c r="C3" s="78" t="s">
        <v>74</v>
      </c>
      <c r="D3" s="78"/>
      <c r="E3" s="78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383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636.6</v>
      </c>
      <c r="B12" s="58"/>
      <c r="C12" s="58">
        <v>443.5</v>
      </c>
      <c r="D12" s="58"/>
      <c r="E12" s="58">
        <v>362.5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384</v>
      </c>
      <c r="C14" s="157" t="s">
        <v>385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386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25281.396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391</v>
      </c>
      <c r="B20" s="149"/>
      <c r="C20" s="149"/>
      <c r="D20" s="43"/>
      <c r="E20" s="44">
        <f>0.156*5800*1.75*1.263*12</f>
        <v>23998.0104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392</v>
      </c>
      <c r="B21" s="144"/>
      <c r="C21" s="144"/>
      <c r="D21" s="20"/>
      <c r="E21" s="25">
        <f>0.04*A12*12</f>
        <v>305.56800000000004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387</v>
      </c>
      <c r="B22" s="144"/>
      <c r="C22" s="144"/>
      <c r="D22" s="20"/>
      <c r="E22" s="25">
        <f>0.028*A12*12</f>
        <v>213.8976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403</v>
      </c>
      <c r="B23" s="144"/>
      <c r="C23" s="144"/>
      <c r="D23" s="136"/>
      <c r="E23" s="26">
        <f>0.1*A12*12</f>
        <v>763.9200000000001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E25+E26+E27+E28+E30+E31+E32+E29</f>
        <v>12271.842400000001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393</v>
      </c>
      <c r="B25" s="144"/>
      <c r="C25" s="144"/>
      <c r="D25" s="20"/>
      <c r="E25" s="25">
        <f>23*1.5*90.3</f>
        <v>3115.35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394</v>
      </c>
      <c r="B26" s="144"/>
      <c r="C26" s="144"/>
      <c r="D26" s="20"/>
      <c r="E26" s="25">
        <f>23*1.5*35.02</f>
        <v>1208.19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395</v>
      </c>
      <c r="B27" s="144"/>
      <c r="C27" s="144"/>
      <c r="D27" s="20"/>
      <c r="E27" s="26">
        <f>900*2.73</f>
        <v>2457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388</v>
      </c>
      <c r="B28" s="144"/>
      <c r="C28" s="144"/>
      <c r="D28" s="20"/>
      <c r="E28" s="25">
        <f>0.002*A12*12</f>
        <v>15.278400000000001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396</v>
      </c>
      <c r="B29" s="144"/>
      <c r="C29" s="144"/>
      <c r="D29" s="20"/>
      <c r="E29" s="25">
        <f>1.44*151.9</f>
        <v>218.736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389</v>
      </c>
      <c r="B30" s="144"/>
      <c r="C30" s="144"/>
      <c r="D30" s="20"/>
      <c r="E30" s="25">
        <f>0.29*A12*12</f>
        <v>2215.368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89</v>
      </c>
      <c r="B31" s="144"/>
      <c r="C31" s="144"/>
      <c r="D31" s="20"/>
      <c r="E31" s="26">
        <f>16*5.44+16*16.17*4</f>
        <v>1121.92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163</v>
      </c>
      <c r="B32" s="28" t="s">
        <v>90</v>
      </c>
      <c r="C32" s="28"/>
      <c r="D32" s="20"/>
      <c r="E32" s="5">
        <f>16*120</f>
        <v>1920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5" t="s">
        <v>143</v>
      </c>
      <c r="B33" s="135"/>
      <c r="C33" s="135"/>
      <c r="D33" s="29"/>
      <c r="E33" s="8">
        <v>21891.71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159</v>
      </c>
      <c r="B34" s="53"/>
      <c r="C34" s="53" t="s">
        <v>397</v>
      </c>
      <c r="D34" s="29"/>
      <c r="E34" s="18">
        <f>0.9*A12*12</f>
        <v>6875.280000000001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37" t="s">
        <v>92</v>
      </c>
      <c r="B35" s="138"/>
      <c r="C35" s="138"/>
      <c r="D35" s="29" t="s">
        <v>398</v>
      </c>
      <c r="E35" s="18">
        <f>1.24*A12*12</f>
        <v>9472.608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93</v>
      </c>
      <c r="B36" s="36"/>
      <c r="C36" s="36" t="s">
        <v>94</v>
      </c>
      <c r="D36" s="37"/>
      <c r="E36" s="8">
        <v>22.61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39" t="s">
        <v>147</v>
      </c>
      <c r="B37" s="140"/>
      <c r="C37" s="140"/>
      <c r="D37" s="29"/>
      <c r="E37" s="8">
        <f>E36+E35+E34+E33+E24+E18</f>
        <v>75815.4464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1" t="s">
        <v>323</v>
      </c>
      <c r="B38" s="142"/>
      <c r="C38" s="142"/>
      <c r="D38" s="29"/>
      <c r="E38" s="19">
        <f>E37*0.06</f>
        <v>4548.926784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39" t="s">
        <v>149</v>
      </c>
      <c r="B39" s="140"/>
      <c r="C39" s="140"/>
      <c r="D39" s="29"/>
      <c r="E39" s="8">
        <f>SUM(E37:E38)</f>
        <v>80364.373184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139</v>
      </c>
      <c r="B40" s="38"/>
      <c r="C40" s="39"/>
      <c r="D40" s="8"/>
      <c r="E40" s="55">
        <f>E39/A12/12</f>
        <v>10.519998584144936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39:C39"/>
    <mergeCell ref="A33:C33"/>
    <mergeCell ref="A35:C35"/>
    <mergeCell ref="A37:C37"/>
    <mergeCell ref="A38:C38"/>
    <mergeCell ref="A30:C30"/>
    <mergeCell ref="A31:C31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0">
      <selection activeCell="G42" sqref="G42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2.75">
      <c r="C3" s="78" t="s">
        <v>74</v>
      </c>
      <c r="D3" s="78"/>
      <c r="E3" s="78"/>
    </row>
    <row r="6" spans="1:5" ht="22.5" customHeight="1">
      <c r="A6" s="179" t="s">
        <v>154</v>
      </c>
      <c r="B6" s="180"/>
      <c r="C6" s="180"/>
      <c r="D6" s="180"/>
      <c r="E6" s="180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127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116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51" t="s">
        <v>114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customHeight="1">
      <c r="A13" s="152" t="s">
        <v>131</v>
      </c>
      <c r="B13" s="153"/>
      <c r="C13" s="153"/>
      <c r="D13" s="153"/>
      <c r="E13" s="154"/>
      <c r="F13" s="24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7" t="s">
        <v>132</v>
      </c>
      <c r="B14" s="17" t="s">
        <v>133</v>
      </c>
      <c r="C14" s="17" t="s">
        <v>134</v>
      </c>
      <c r="D14" s="17" t="s">
        <v>135</v>
      </c>
      <c r="E14" s="17" t="s">
        <v>129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50">
        <v>288.5</v>
      </c>
      <c r="B15" s="6"/>
      <c r="C15" s="6">
        <v>304</v>
      </c>
      <c r="D15" s="6"/>
      <c r="E15" s="6">
        <v>761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 customHeight="1">
      <c r="A17" s="155" t="s">
        <v>136</v>
      </c>
      <c r="B17" s="49" t="s">
        <v>117</v>
      </c>
      <c r="C17" s="157" t="s">
        <v>79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81"/>
      <c r="B18" s="49" t="s">
        <v>118</v>
      </c>
      <c r="C18" s="18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77"/>
      <c r="B19" s="74"/>
      <c r="C19" s="7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>
      <c r="A21" s="133" t="s">
        <v>124</v>
      </c>
      <c r="B21" s="134"/>
      <c r="C21" s="134"/>
      <c r="D21" s="46"/>
      <c r="E21" s="47" t="s">
        <v>128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40" t="s">
        <v>125</v>
      </c>
      <c r="B22" s="41"/>
      <c r="C22" s="41"/>
      <c r="D22" s="42"/>
      <c r="E22" s="23">
        <f>E24+E25+E26+E27</f>
        <v>19810.791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46" t="s">
        <v>137</v>
      </c>
      <c r="B23" s="147"/>
      <c r="C23" s="147"/>
      <c r="D23" s="45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48" t="s">
        <v>95</v>
      </c>
      <c r="B24" s="149"/>
      <c r="C24" s="149"/>
      <c r="D24" s="43"/>
      <c r="E24" s="44">
        <f>0.125*5800*1.75*1.263*12</f>
        <v>19229.175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43" t="s">
        <v>400</v>
      </c>
      <c r="B25" s="144"/>
      <c r="C25" s="144"/>
      <c r="D25" s="20"/>
      <c r="E25" s="25">
        <f>0.04*A15*12</f>
        <v>138.48000000000002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43" t="s">
        <v>399</v>
      </c>
      <c r="B26" s="144"/>
      <c r="C26" s="144"/>
      <c r="D26" s="20"/>
      <c r="E26" s="25">
        <f>0.028*A15*12</f>
        <v>96.93599999999999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43" t="s">
        <v>405</v>
      </c>
      <c r="B27" s="144"/>
      <c r="C27" s="144"/>
      <c r="D27" s="136"/>
      <c r="E27" s="26">
        <f>0.1*A15*12</f>
        <v>346.20000000000005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1" t="s">
        <v>126</v>
      </c>
      <c r="B28" s="132"/>
      <c r="C28" s="132"/>
      <c r="D28" s="20"/>
      <c r="E28" s="18">
        <f>E29+E30+E31+E32+E33+E34+E35</f>
        <v>7013.9839999999995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373</v>
      </c>
      <c r="B29" s="144"/>
      <c r="C29" s="144"/>
      <c r="D29" s="20"/>
      <c r="E29" s="25">
        <f>9*1.5*90.3</f>
        <v>1219.05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374</v>
      </c>
      <c r="B30" s="144"/>
      <c r="C30" s="144"/>
      <c r="D30" s="20"/>
      <c r="E30" s="25">
        <f>9*1.5*35.02</f>
        <v>472.77000000000004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401</v>
      </c>
      <c r="B31" s="144"/>
      <c r="C31" s="144"/>
      <c r="D31" s="20"/>
      <c r="E31" s="26">
        <f>1110*2.73</f>
        <v>3030.3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3" t="s">
        <v>119</v>
      </c>
      <c r="B32" s="144"/>
      <c r="C32" s="144"/>
      <c r="D32" s="20"/>
      <c r="E32" s="25">
        <f>0.002*A15*12</f>
        <v>6.9239999999999995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3" t="s">
        <v>120</v>
      </c>
      <c r="B33" s="144"/>
      <c r="C33" s="144"/>
      <c r="D33" s="20"/>
      <c r="E33" s="25">
        <f>0.29*A15*12</f>
        <v>1003.9799999999999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3" t="s">
        <v>115</v>
      </c>
      <c r="B34" s="144"/>
      <c r="C34" s="144"/>
      <c r="D34" s="20"/>
      <c r="E34" s="76">
        <f>8*5.44+(8*16.17*4)</f>
        <v>560.96</v>
      </c>
      <c r="F34" s="75"/>
      <c r="G34" s="75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27" t="s">
        <v>140</v>
      </c>
      <c r="B35" s="28" t="s">
        <v>402</v>
      </c>
      <c r="C35" s="28"/>
      <c r="D35" s="20"/>
      <c r="E35" s="5">
        <v>720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5" t="s">
        <v>143</v>
      </c>
      <c r="B36" s="135"/>
      <c r="C36" s="135"/>
      <c r="D36" s="29"/>
      <c r="E36" s="8">
        <v>115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0" t="s">
        <v>144</v>
      </c>
      <c r="B37" s="163" t="s">
        <v>121</v>
      </c>
      <c r="C37" s="163"/>
      <c r="D37" s="29"/>
      <c r="E37" s="18">
        <f>0.9*A15*12</f>
        <v>3115.8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31" t="s">
        <v>145</v>
      </c>
      <c r="B38" s="32"/>
      <c r="C38" s="33" t="s">
        <v>122</v>
      </c>
      <c r="D38" s="34"/>
      <c r="E38" s="18">
        <f>1.24*A15*12</f>
        <v>4292.88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35" t="s">
        <v>146</v>
      </c>
      <c r="B39" s="36"/>
      <c r="C39" s="36" t="s">
        <v>123</v>
      </c>
      <c r="D39" s="37"/>
      <c r="E39" s="18">
        <f>0.003*A15*12</f>
        <v>10.386000000000001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39" t="s">
        <v>147</v>
      </c>
      <c r="B40" s="140"/>
      <c r="C40" s="140"/>
      <c r="D40" s="29"/>
      <c r="E40" s="8">
        <f>E39+E38+E37+E36+E28+E22</f>
        <v>34358.841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41" t="s">
        <v>323</v>
      </c>
      <c r="B41" s="142"/>
      <c r="C41" s="142"/>
      <c r="D41" s="29"/>
      <c r="E41" s="19">
        <f>E40*0.06</f>
        <v>2061.53046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39" t="s">
        <v>138</v>
      </c>
      <c r="B42" s="140"/>
      <c r="C42" s="140"/>
      <c r="D42" s="29"/>
      <c r="E42" s="8">
        <f>SUM(E40:E41)</f>
        <v>36420.37146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7" t="s">
        <v>139</v>
      </c>
      <c r="B43" s="38"/>
      <c r="C43" s="39"/>
      <c r="D43" s="8"/>
      <c r="E43" s="55">
        <f>E42/A15/12</f>
        <v>10.520037972270364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"/>
      <c r="B44" s="11"/>
      <c r="C44" s="12"/>
      <c r="D44" s="12"/>
      <c r="E44" s="7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2"/>
      <c r="D45" s="12"/>
      <c r="E45" s="7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"/>
      <c r="B46" s="11"/>
      <c r="C46" s="12"/>
      <c r="D46" s="12"/>
      <c r="E46" s="7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>
      <c r="A47" s="10"/>
      <c r="B47" s="11"/>
      <c r="C47" s="73"/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0"/>
      <c r="B48" s="11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0"/>
      <c r="B49" s="11"/>
      <c r="C49" s="13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4"/>
      <c r="C50" s="15"/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6"/>
      <c r="B51" s="14"/>
      <c r="C51" s="15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 t="s">
        <v>127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2">
    <mergeCell ref="B37:C37"/>
    <mergeCell ref="A40:C40"/>
    <mergeCell ref="A41:C41"/>
    <mergeCell ref="A42:C42"/>
    <mergeCell ref="A34:C34"/>
    <mergeCell ref="A36:C36"/>
    <mergeCell ref="A30:C30"/>
    <mergeCell ref="A31:C31"/>
    <mergeCell ref="A32:C32"/>
    <mergeCell ref="A33:C33"/>
    <mergeCell ref="A26:C26"/>
    <mergeCell ref="A27:D27"/>
    <mergeCell ref="A28:C28"/>
    <mergeCell ref="A29:C29"/>
    <mergeCell ref="A21:C21"/>
    <mergeCell ref="A23:C23"/>
    <mergeCell ref="A24:C24"/>
    <mergeCell ref="A25:C25"/>
    <mergeCell ref="A6:E6"/>
    <mergeCell ref="A13:E13"/>
    <mergeCell ref="A17:A18"/>
    <mergeCell ref="C17:C1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36" sqref="E36"/>
    </sheetView>
  </sheetViews>
  <sheetFormatPr defaultColWidth="9.00390625" defaultRowHeight="12.75"/>
  <cols>
    <col min="1" max="1" width="18.00390625" style="78" customWidth="1"/>
    <col min="2" max="2" width="18.375" style="78" customWidth="1"/>
    <col min="3" max="3" width="17.00390625" style="78" customWidth="1"/>
    <col min="4" max="4" width="16.625" style="78" customWidth="1"/>
    <col min="5" max="5" width="13.625" style="78" customWidth="1"/>
    <col min="6" max="16384" width="9.125" style="78" customWidth="1"/>
  </cols>
  <sheetData>
    <row r="1" ht="12.75">
      <c r="C1" s="78" t="s">
        <v>142</v>
      </c>
    </row>
    <row r="2" ht="12.75">
      <c r="C2" s="78" t="s">
        <v>369</v>
      </c>
    </row>
    <row r="3" ht="12.75">
      <c r="C3" s="78" t="s">
        <v>74</v>
      </c>
    </row>
    <row r="6" spans="1:5" ht="15.75">
      <c r="A6" s="150" t="s">
        <v>154</v>
      </c>
      <c r="B6" s="151"/>
      <c r="C6" s="151"/>
      <c r="D6" s="151"/>
      <c r="E6" s="151"/>
    </row>
    <row r="7" spans="1:5" ht="12.75">
      <c r="A7" s="80" t="s">
        <v>127</v>
      </c>
      <c r="B7" s="80"/>
      <c r="C7" s="51"/>
      <c r="D7" s="51"/>
      <c r="E7" s="51"/>
    </row>
    <row r="8" spans="1:5" ht="14.25">
      <c r="A8" s="3" t="s">
        <v>535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86"/>
      <c r="C10" s="186"/>
      <c r="D10" s="186"/>
      <c r="E10" s="187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9711.5</v>
      </c>
      <c r="B12" s="82">
        <v>1037.6</v>
      </c>
      <c r="C12" s="82">
        <v>1600</v>
      </c>
      <c r="D12" s="82"/>
      <c r="E12" s="82">
        <v>3000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536</v>
      </c>
      <c r="C14" s="157" t="s">
        <v>537</v>
      </c>
      <c r="D14" s="21"/>
      <c r="E14" s="51"/>
    </row>
    <row r="15" spans="1:5" ht="12.75">
      <c r="A15" s="178"/>
      <c r="B15" s="9" t="s">
        <v>178</v>
      </c>
      <c r="C15" s="158"/>
      <c r="D15" s="118"/>
      <c r="E15" s="51"/>
    </row>
    <row r="16" spans="1:5" ht="14.25">
      <c r="A16" s="126"/>
      <c r="B16" s="74"/>
      <c r="C16" s="51"/>
      <c r="D16" s="51"/>
      <c r="E16" s="51"/>
    </row>
    <row r="17" spans="1:5" ht="14.25">
      <c r="A17" s="126"/>
      <c r="B17" s="74"/>
      <c r="C17" s="51"/>
      <c r="D17" s="51"/>
      <c r="E17" s="51"/>
    </row>
    <row r="18" spans="1:5" ht="14.25">
      <c r="A18" s="127"/>
      <c r="B18" s="128"/>
      <c r="C18" s="51"/>
      <c r="D18" s="51"/>
      <c r="E18" s="51"/>
    </row>
    <row r="19" spans="1:5" ht="12.75">
      <c r="A19" s="168" t="s">
        <v>124</v>
      </c>
      <c r="B19" s="169"/>
      <c r="C19" s="169"/>
      <c r="D19" s="46"/>
      <c r="E19" s="84" t="s">
        <v>128</v>
      </c>
    </row>
    <row r="20" spans="1:5" ht="12.75">
      <c r="A20" s="85" t="s">
        <v>125</v>
      </c>
      <c r="B20" s="86"/>
      <c r="C20" s="86"/>
      <c r="D20" s="87"/>
      <c r="E20" s="88">
        <f>E22+E23+E24+E25</f>
        <v>116866.37999999999</v>
      </c>
    </row>
    <row r="21" spans="1:5" ht="12.75">
      <c r="A21" s="184" t="s">
        <v>137</v>
      </c>
      <c r="B21" s="185"/>
      <c r="C21" s="185"/>
      <c r="D21" s="120"/>
      <c r="E21" s="121"/>
    </row>
    <row r="22" spans="1:5" ht="12.75">
      <c r="A22" s="172" t="s">
        <v>542</v>
      </c>
      <c r="B22" s="173"/>
      <c r="C22" s="173"/>
      <c r="D22" s="122"/>
      <c r="E22" s="44">
        <f>0.64*5800*1.75*1.263*12</f>
        <v>98453.37599999999</v>
      </c>
    </row>
    <row r="23" spans="1:5" ht="12.75" customHeight="1">
      <c r="A23" s="143" t="s">
        <v>543</v>
      </c>
      <c r="B23" s="144"/>
      <c r="C23" s="144"/>
      <c r="D23" s="20"/>
      <c r="E23" s="25">
        <f>0.04*A12*12</f>
        <v>4661.52</v>
      </c>
    </row>
    <row r="24" spans="1:5" ht="12.75" customHeight="1">
      <c r="A24" s="143" t="s">
        <v>538</v>
      </c>
      <c r="B24" s="144"/>
      <c r="C24" s="144"/>
      <c r="D24" s="20"/>
      <c r="E24" s="25">
        <f>0.028*A12*12</f>
        <v>3263.0640000000003</v>
      </c>
    </row>
    <row r="25" spans="1:5" ht="12.75" customHeight="1">
      <c r="A25" s="143" t="s">
        <v>539</v>
      </c>
      <c r="B25" s="144"/>
      <c r="C25" s="144"/>
      <c r="D25" s="136"/>
      <c r="E25" s="26">
        <f>0.09*A12*12</f>
        <v>10488.42</v>
      </c>
    </row>
    <row r="26" spans="1:5" ht="12.75">
      <c r="A26" s="166" t="s">
        <v>126</v>
      </c>
      <c r="B26" s="167"/>
      <c r="C26" s="167"/>
      <c r="D26" s="121"/>
      <c r="E26" s="18">
        <f>E27+E28+E29+E30+E32+E33+E34+E31</f>
        <v>224367.05599999998</v>
      </c>
    </row>
    <row r="27" spans="1:5" ht="12.75">
      <c r="A27" s="164" t="s">
        <v>544</v>
      </c>
      <c r="B27" s="165"/>
      <c r="C27" s="165"/>
      <c r="D27" s="121"/>
      <c r="E27" s="25">
        <f>460*1.5*90.3</f>
        <v>62307</v>
      </c>
    </row>
    <row r="28" spans="1:5" ht="12.75">
      <c r="A28" s="164" t="s">
        <v>545</v>
      </c>
      <c r="B28" s="165"/>
      <c r="C28" s="165"/>
      <c r="D28" s="121"/>
      <c r="E28" s="25">
        <f>460*1.5*35.02</f>
        <v>24163.800000000003</v>
      </c>
    </row>
    <row r="29" spans="1:5" ht="12.75">
      <c r="A29" s="164" t="s">
        <v>546</v>
      </c>
      <c r="B29" s="165"/>
      <c r="C29" s="165"/>
      <c r="D29" s="121"/>
      <c r="E29" s="26">
        <f>28300*2.73</f>
        <v>77259</v>
      </c>
    </row>
    <row r="30" spans="1:5" ht="12.75">
      <c r="A30" s="164" t="s">
        <v>540</v>
      </c>
      <c r="B30" s="165"/>
      <c r="C30" s="165"/>
      <c r="D30" s="121"/>
      <c r="E30" s="25">
        <f>0.002*A12*12</f>
        <v>233.07600000000002</v>
      </c>
    </row>
    <row r="31" spans="1:5" ht="12.75">
      <c r="A31" s="143" t="s">
        <v>547</v>
      </c>
      <c r="B31" s="144"/>
      <c r="C31" s="144"/>
      <c r="D31" s="121"/>
      <c r="E31" s="25">
        <f>1.44*2885</f>
        <v>4154.4</v>
      </c>
    </row>
    <row r="32" spans="1:5" ht="12.75">
      <c r="A32" s="164" t="s">
        <v>541</v>
      </c>
      <c r="B32" s="165"/>
      <c r="C32" s="165"/>
      <c r="D32" s="121"/>
      <c r="E32" s="25">
        <f>0.29*A12*12</f>
        <v>33796.02</v>
      </c>
    </row>
    <row r="33" spans="1:5" ht="12.75">
      <c r="A33" s="164" t="s">
        <v>548</v>
      </c>
      <c r="B33" s="165"/>
      <c r="C33" s="165"/>
      <c r="D33" s="121"/>
      <c r="E33" s="26">
        <f>179*5.44</f>
        <v>973.7600000000001</v>
      </c>
    </row>
    <row r="34" spans="1:5" ht="12" customHeight="1">
      <c r="A34" s="92" t="s">
        <v>163</v>
      </c>
      <c r="B34" s="93" t="s">
        <v>549</v>
      </c>
      <c r="C34" s="93"/>
      <c r="D34" s="121"/>
      <c r="E34" s="5">
        <f>179*120</f>
        <v>21480</v>
      </c>
    </row>
    <row r="35" spans="1:5" ht="12.75" customHeight="1">
      <c r="A35" s="145" t="s">
        <v>143</v>
      </c>
      <c r="B35" s="135"/>
      <c r="C35" s="135"/>
      <c r="D35" s="104"/>
      <c r="E35" s="105">
        <v>565600</v>
      </c>
    </row>
    <row r="36" spans="1:5" ht="12.75" customHeight="1">
      <c r="A36" s="30" t="s">
        <v>144</v>
      </c>
      <c r="B36" s="163" t="s">
        <v>550</v>
      </c>
      <c r="C36" s="163"/>
      <c r="D36" s="29"/>
      <c r="E36" s="8">
        <f>0.9*A12*12</f>
        <v>104884.20000000001</v>
      </c>
    </row>
    <row r="37" spans="1:5" ht="12.75">
      <c r="A37" s="31" t="s">
        <v>145</v>
      </c>
      <c r="B37" s="32"/>
      <c r="C37" s="33" t="s">
        <v>551</v>
      </c>
      <c r="D37" s="34"/>
      <c r="E37" s="18">
        <f>1.24*A12*12</f>
        <v>144507.12</v>
      </c>
    </row>
    <row r="38" spans="1:5" ht="12.75">
      <c r="A38" s="97" t="s">
        <v>146</v>
      </c>
      <c r="B38" s="123"/>
      <c r="C38" s="123" t="s">
        <v>552</v>
      </c>
      <c r="D38" s="124"/>
      <c r="E38" s="8">
        <f>0.003*A12*12</f>
        <v>349.614</v>
      </c>
    </row>
    <row r="39" spans="1:5" ht="12.75">
      <c r="A39" s="161" t="s">
        <v>147</v>
      </c>
      <c r="B39" s="162"/>
      <c r="C39" s="162"/>
      <c r="D39" s="125"/>
      <c r="E39" s="8">
        <f>E38+E37+E36+E26+E20+E35</f>
        <v>1156574.37</v>
      </c>
    </row>
    <row r="40" spans="1:5" ht="12.75" customHeight="1">
      <c r="A40" s="141" t="s">
        <v>323</v>
      </c>
      <c r="B40" s="142"/>
      <c r="C40" s="142"/>
      <c r="D40" s="125"/>
      <c r="E40" s="19">
        <f>E39*0.06</f>
        <v>69394.46220000001</v>
      </c>
    </row>
    <row r="41" spans="1:5" ht="12.75">
      <c r="A41" s="161" t="s">
        <v>149</v>
      </c>
      <c r="B41" s="162"/>
      <c r="C41" s="162"/>
      <c r="D41" s="125"/>
      <c r="E41" s="8">
        <f>SUM(E39:E40)</f>
        <v>1225968.8322</v>
      </c>
    </row>
    <row r="42" spans="1:5" ht="12.75">
      <c r="A42" s="101" t="s">
        <v>139</v>
      </c>
      <c r="B42" s="38"/>
      <c r="C42" s="39"/>
      <c r="D42" s="8"/>
      <c r="E42" s="117">
        <f>E41/A12/12</f>
        <v>10.519906229727644</v>
      </c>
    </row>
    <row r="43" spans="1:5" ht="12.75">
      <c r="A43" s="102"/>
      <c r="B43" s="11"/>
      <c r="C43" s="12"/>
      <c r="D43" s="12"/>
      <c r="E43" s="51"/>
    </row>
  </sheetData>
  <mergeCells count="23">
    <mergeCell ref="A40:C40"/>
    <mergeCell ref="A41:C41"/>
    <mergeCell ref="A35:C35"/>
    <mergeCell ref="B36:C36"/>
    <mergeCell ref="A39:C39"/>
    <mergeCell ref="A31:C31"/>
    <mergeCell ref="A32:C32"/>
    <mergeCell ref="A33:C33"/>
    <mergeCell ref="A27:C27"/>
    <mergeCell ref="A28:C28"/>
    <mergeCell ref="A29:C29"/>
    <mergeCell ref="A30:C30"/>
    <mergeCell ref="A23:C23"/>
    <mergeCell ref="A24:C24"/>
    <mergeCell ref="A25:D25"/>
    <mergeCell ref="A26:C26"/>
    <mergeCell ref="A19:C19"/>
    <mergeCell ref="A21:C21"/>
    <mergeCell ref="A22:C22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1" sqref="C1:C3"/>
    </sheetView>
  </sheetViews>
  <sheetFormatPr defaultColWidth="9.00390625" defaultRowHeight="12.75"/>
  <cols>
    <col min="1" max="1" width="18.00390625" style="78" customWidth="1"/>
    <col min="2" max="2" width="18.375" style="78" customWidth="1"/>
    <col min="3" max="3" width="17.00390625" style="78" customWidth="1"/>
    <col min="4" max="4" width="16.625" style="78" customWidth="1"/>
    <col min="5" max="5" width="13.625" style="78" customWidth="1"/>
    <col min="6" max="16384" width="9.125" style="78" customWidth="1"/>
  </cols>
  <sheetData>
    <row r="1" ht="12.75">
      <c r="C1" s="78" t="s">
        <v>142</v>
      </c>
    </row>
    <row r="2" ht="12.75">
      <c r="C2" s="78" t="s">
        <v>369</v>
      </c>
    </row>
    <row r="3" ht="12.75">
      <c r="C3" s="78" t="s">
        <v>74</v>
      </c>
    </row>
    <row r="6" spans="1:5" ht="15.75">
      <c r="A6" s="150" t="s">
        <v>154</v>
      </c>
      <c r="B6" s="151"/>
      <c r="C6" s="151"/>
      <c r="D6" s="151"/>
      <c r="E6" s="151"/>
    </row>
    <row r="7" spans="1:5" ht="12.75">
      <c r="A7" s="80" t="s">
        <v>127</v>
      </c>
      <c r="B7" s="80"/>
      <c r="C7" s="51"/>
      <c r="D7" s="51"/>
      <c r="E7" s="51"/>
    </row>
    <row r="8" spans="1:5" ht="14.25">
      <c r="A8" s="3" t="s">
        <v>498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86"/>
      <c r="C10" s="186"/>
      <c r="D10" s="186"/>
      <c r="E10" s="187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1630.8</v>
      </c>
      <c r="B12" s="82">
        <v>154.2</v>
      </c>
      <c r="C12" s="82">
        <v>492</v>
      </c>
      <c r="D12" s="82"/>
      <c r="E12" s="82">
        <v>1093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499</v>
      </c>
      <c r="C14" s="157" t="s">
        <v>500</v>
      </c>
      <c r="D14" s="21"/>
      <c r="E14" s="51"/>
    </row>
    <row r="15" spans="1:5" ht="12.75">
      <c r="A15" s="178"/>
      <c r="B15" s="9" t="s">
        <v>501</v>
      </c>
      <c r="C15" s="158"/>
      <c r="D15" s="118"/>
      <c r="E15" s="51"/>
    </row>
    <row r="16" spans="1:5" ht="12.75">
      <c r="A16" s="119"/>
      <c r="B16" s="74"/>
      <c r="C16" s="21"/>
      <c r="D16" s="118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68" t="s">
        <v>124</v>
      </c>
      <c r="B18" s="169"/>
      <c r="C18" s="169"/>
      <c r="D18" s="46"/>
      <c r="E18" s="84" t="s">
        <v>128</v>
      </c>
    </row>
    <row r="19" spans="1:5" ht="12.75">
      <c r="A19" s="85" t="s">
        <v>125</v>
      </c>
      <c r="B19" s="86"/>
      <c r="C19" s="86"/>
      <c r="D19" s="87"/>
      <c r="E19" s="88">
        <f>E21+E22+E23+E24</f>
        <v>33439.03919999999</v>
      </c>
    </row>
    <row r="20" spans="1:5" ht="12.75">
      <c r="A20" s="184" t="s">
        <v>137</v>
      </c>
      <c r="B20" s="185"/>
      <c r="C20" s="185"/>
      <c r="D20" s="120"/>
      <c r="E20" s="121"/>
    </row>
    <row r="21" spans="1:5" ht="12.75">
      <c r="A21" s="172" t="s">
        <v>506</v>
      </c>
      <c r="B21" s="173"/>
      <c r="C21" s="173"/>
      <c r="D21" s="122"/>
      <c r="E21" s="44">
        <f>0.196*5800*1.75*1.263*12</f>
        <v>30151.346399999995</v>
      </c>
    </row>
    <row r="22" spans="1:5" ht="12.75" customHeight="1">
      <c r="A22" s="143" t="s">
        <v>507</v>
      </c>
      <c r="B22" s="144"/>
      <c r="C22" s="144"/>
      <c r="D22" s="20"/>
      <c r="E22" s="25">
        <f>0.04*A12*12</f>
        <v>782.784</v>
      </c>
    </row>
    <row r="23" spans="1:5" ht="12.75" customHeight="1">
      <c r="A23" s="143" t="s">
        <v>502</v>
      </c>
      <c r="B23" s="144"/>
      <c r="C23" s="144"/>
      <c r="D23" s="20"/>
      <c r="E23" s="25">
        <f>0.028*A12*12</f>
        <v>547.9488</v>
      </c>
    </row>
    <row r="24" spans="1:5" ht="12.75" customHeight="1">
      <c r="A24" s="143" t="s">
        <v>508</v>
      </c>
      <c r="B24" s="144"/>
      <c r="C24" s="144"/>
      <c r="D24" s="136"/>
      <c r="E24" s="26">
        <f>0.1*A12*12</f>
        <v>1956.96</v>
      </c>
    </row>
    <row r="25" spans="1:5" ht="12.75">
      <c r="A25" s="166" t="s">
        <v>126</v>
      </c>
      <c r="B25" s="167"/>
      <c r="C25" s="167"/>
      <c r="D25" s="121"/>
      <c r="E25" s="18">
        <f>E26+E27+E28+E29+E31+E32+E33+E30</f>
        <v>46872.60719999999</v>
      </c>
    </row>
    <row r="26" spans="1:5" ht="12.75">
      <c r="A26" s="164" t="s">
        <v>510</v>
      </c>
      <c r="B26" s="165"/>
      <c r="C26" s="165"/>
      <c r="D26" s="121"/>
      <c r="E26" s="25">
        <f>61*1.5*90.3</f>
        <v>8262.449999999999</v>
      </c>
    </row>
    <row r="27" spans="1:5" ht="12.75">
      <c r="A27" s="164" t="s">
        <v>511</v>
      </c>
      <c r="B27" s="165"/>
      <c r="C27" s="165"/>
      <c r="D27" s="121"/>
      <c r="E27" s="25">
        <f>61*1.5*35.02</f>
        <v>3204.3300000000004</v>
      </c>
    </row>
    <row r="28" spans="1:5" ht="12.75">
      <c r="A28" s="164" t="s">
        <v>509</v>
      </c>
      <c r="B28" s="165"/>
      <c r="C28" s="165"/>
      <c r="D28" s="121"/>
      <c r="E28" s="26">
        <f>9000*2.73</f>
        <v>24570</v>
      </c>
    </row>
    <row r="29" spans="1:5" ht="12.75">
      <c r="A29" s="164" t="s">
        <v>503</v>
      </c>
      <c r="B29" s="165"/>
      <c r="C29" s="165"/>
      <c r="D29" s="121"/>
      <c r="E29" s="25">
        <f>0.002*A12*12</f>
        <v>39.1392</v>
      </c>
    </row>
    <row r="30" spans="1:5" ht="12.75">
      <c r="A30" s="143" t="s">
        <v>512</v>
      </c>
      <c r="B30" s="144"/>
      <c r="C30" s="144"/>
      <c r="D30" s="121"/>
      <c r="E30" s="25">
        <f>1.44*420.6</f>
        <v>605.664</v>
      </c>
    </row>
    <row r="31" spans="1:5" ht="12.75">
      <c r="A31" s="164" t="s">
        <v>504</v>
      </c>
      <c r="B31" s="165"/>
      <c r="C31" s="165"/>
      <c r="D31" s="121"/>
      <c r="E31" s="25">
        <f>0.29*A12*12</f>
        <v>5675.183999999999</v>
      </c>
    </row>
    <row r="32" spans="1:5" ht="12.75">
      <c r="A32" s="164" t="s">
        <v>513</v>
      </c>
      <c r="B32" s="165"/>
      <c r="C32" s="165"/>
      <c r="D32" s="121"/>
      <c r="E32" s="26">
        <f>36*5.44</f>
        <v>195.84</v>
      </c>
    </row>
    <row r="33" spans="1:5" ht="12" customHeight="1">
      <c r="A33" s="92" t="s">
        <v>163</v>
      </c>
      <c r="B33" s="93" t="s">
        <v>514</v>
      </c>
      <c r="C33" s="93"/>
      <c r="D33" s="121"/>
      <c r="E33" s="5">
        <f>36*120</f>
        <v>4320</v>
      </c>
    </row>
    <row r="34" spans="1:5" ht="12.75" customHeight="1">
      <c r="A34" s="145" t="s">
        <v>143</v>
      </c>
      <c r="B34" s="135"/>
      <c r="C34" s="135"/>
      <c r="D34" s="104"/>
      <c r="E34" s="105">
        <v>71970</v>
      </c>
    </row>
    <row r="35" spans="1:5" ht="12.75" customHeight="1">
      <c r="A35" s="30" t="s">
        <v>144</v>
      </c>
      <c r="B35" s="163" t="s">
        <v>515</v>
      </c>
      <c r="C35" s="163"/>
      <c r="D35" s="29"/>
      <c r="E35" s="8">
        <f>0.9*A12*12</f>
        <v>17612.64</v>
      </c>
    </row>
    <row r="36" spans="1:5" ht="12.75">
      <c r="A36" s="31" t="s">
        <v>145</v>
      </c>
      <c r="B36" s="32"/>
      <c r="C36" s="33" t="s">
        <v>516</v>
      </c>
      <c r="D36" s="34"/>
      <c r="E36" s="18">
        <f>1.24*A12*12</f>
        <v>24266.304</v>
      </c>
    </row>
    <row r="37" spans="1:5" ht="12.75">
      <c r="A37" s="97" t="s">
        <v>146</v>
      </c>
      <c r="B37" s="123"/>
      <c r="C37" s="123" t="s">
        <v>505</v>
      </c>
      <c r="D37" s="124"/>
      <c r="E37" s="8">
        <f>0.003*A12*12</f>
        <v>58.708800000000004</v>
      </c>
    </row>
    <row r="38" spans="1:5" ht="12.75">
      <c r="A38" s="161" t="s">
        <v>147</v>
      </c>
      <c r="B38" s="162"/>
      <c r="C38" s="162"/>
      <c r="D38" s="125"/>
      <c r="E38" s="8">
        <f>E37+E36+E35+E25+E19+E34</f>
        <v>194219.29919999998</v>
      </c>
    </row>
    <row r="39" spans="1:5" ht="12.75" customHeight="1">
      <c r="A39" s="141" t="s">
        <v>323</v>
      </c>
      <c r="B39" s="142"/>
      <c r="C39" s="142"/>
      <c r="D39" s="125"/>
      <c r="E39" s="19">
        <f>E38*0.06</f>
        <v>11653.157951999998</v>
      </c>
    </row>
    <row r="40" spans="1:5" ht="12.75">
      <c r="A40" s="161" t="s">
        <v>149</v>
      </c>
      <c r="B40" s="162"/>
      <c r="C40" s="162"/>
      <c r="D40" s="125"/>
      <c r="E40" s="8">
        <f>SUM(E38:E39)</f>
        <v>205872.457152</v>
      </c>
    </row>
    <row r="41" spans="1:5" ht="12.75">
      <c r="A41" s="101" t="s">
        <v>139</v>
      </c>
      <c r="B41" s="38"/>
      <c r="C41" s="39"/>
      <c r="D41" s="8"/>
      <c r="E41" s="117">
        <f>E40/A12/12</f>
        <v>10.520013549178318</v>
      </c>
    </row>
    <row r="42" spans="1:5" ht="12.75">
      <c r="A42" s="102"/>
      <c r="B42" s="11"/>
      <c r="C42" s="12"/>
      <c r="D42" s="12"/>
      <c r="E42" s="51"/>
    </row>
  </sheetData>
  <mergeCells count="23">
    <mergeCell ref="A39:C39"/>
    <mergeCell ref="A40:C40"/>
    <mergeCell ref="A34:C34"/>
    <mergeCell ref="B35:C35"/>
    <mergeCell ref="A38:C38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D24"/>
    <mergeCell ref="A25:C25"/>
    <mergeCell ref="A18:C18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1" sqref="C1:C3"/>
    </sheetView>
  </sheetViews>
  <sheetFormatPr defaultColWidth="9.00390625" defaultRowHeight="12.75"/>
  <cols>
    <col min="1" max="1" width="18.00390625" style="78" customWidth="1"/>
    <col min="2" max="2" width="18.375" style="78" customWidth="1"/>
    <col min="3" max="3" width="17.00390625" style="78" customWidth="1"/>
    <col min="4" max="4" width="16.625" style="78" customWidth="1"/>
    <col min="5" max="5" width="13.625" style="78" customWidth="1"/>
    <col min="6" max="16384" width="9.125" style="78" customWidth="1"/>
  </cols>
  <sheetData>
    <row r="1" ht="12.75">
      <c r="C1" s="78" t="s">
        <v>142</v>
      </c>
    </row>
    <row r="2" ht="12.75">
      <c r="C2" s="78" t="s">
        <v>369</v>
      </c>
    </row>
    <row r="3" ht="12.75">
      <c r="C3" s="78" t="s">
        <v>74</v>
      </c>
    </row>
    <row r="6" spans="1:5" ht="15.75">
      <c r="A6" s="150" t="s">
        <v>130</v>
      </c>
      <c r="B6" s="151"/>
      <c r="C6" s="151"/>
      <c r="D6" s="151"/>
      <c r="E6" s="151"/>
    </row>
    <row r="7" spans="1:5" ht="12.75">
      <c r="A7" s="80" t="s">
        <v>127</v>
      </c>
      <c r="B7" s="80"/>
      <c r="C7" s="51"/>
      <c r="D7" s="51"/>
      <c r="E7" s="51"/>
    </row>
    <row r="8" spans="1:5" ht="14.25">
      <c r="A8" s="3" t="s">
        <v>517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86"/>
      <c r="C10" s="186"/>
      <c r="D10" s="186"/>
      <c r="E10" s="187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1606.1</v>
      </c>
      <c r="B12" s="82">
        <v>143.5</v>
      </c>
      <c r="C12" s="82">
        <v>650</v>
      </c>
      <c r="D12" s="82"/>
      <c r="E12" s="82">
        <v>570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518</v>
      </c>
      <c r="C14" s="157" t="s">
        <v>519</v>
      </c>
      <c r="D14" s="21"/>
      <c r="E14" s="51"/>
    </row>
    <row r="15" spans="1:5" ht="12.75">
      <c r="A15" s="178"/>
      <c r="B15" s="9" t="s">
        <v>520</v>
      </c>
      <c r="C15" s="158"/>
      <c r="D15" s="118"/>
      <c r="E15" s="51"/>
    </row>
    <row r="16" spans="1:5" ht="12.75">
      <c r="A16" s="119"/>
      <c r="B16" s="74"/>
      <c r="C16" s="21"/>
      <c r="D16" s="118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68" t="s">
        <v>124</v>
      </c>
      <c r="B18" s="169"/>
      <c r="C18" s="169"/>
      <c r="D18" s="46"/>
      <c r="E18" s="84" t="s">
        <v>128</v>
      </c>
    </row>
    <row r="19" spans="1:5" ht="12.75">
      <c r="A19" s="85" t="s">
        <v>125</v>
      </c>
      <c r="B19" s="86"/>
      <c r="C19" s="86"/>
      <c r="D19" s="87"/>
      <c r="E19" s="88">
        <f>E21+E22+E23+E24</f>
        <v>38273.01419999999</v>
      </c>
    </row>
    <row r="20" spans="1:5" ht="12.75">
      <c r="A20" s="184" t="s">
        <v>137</v>
      </c>
      <c r="B20" s="185"/>
      <c r="C20" s="185"/>
      <c r="D20" s="120"/>
      <c r="E20" s="121"/>
    </row>
    <row r="21" spans="1:5" ht="12.75">
      <c r="A21" s="172" t="s">
        <v>527</v>
      </c>
      <c r="B21" s="173"/>
      <c r="C21" s="173"/>
      <c r="D21" s="122"/>
      <c r="E21" s="44">
        <f>0.229*5800*1.75*1.263*12</f>
        <v>35227.8486</v>
      </c>
    </row>
    <row r="22" spans="1:5" ht="12.75" customHeight="1">
      <c r="A22" s="143" t="s">
        <v>528</v>
      </c>
      <c r="B22" s="144"/>
      <c r="C22" s="144"/>
      <c r="D22" s="20"/>
      <c r="E22" s="25">
        <f>0.04*A12*12</f>
        <v>770.928</v>
      </c>
    </row>
    <row r="23" spans="1:5" ht="12.75" customHeight="1">
      <c r="A23" s="143" t="s">
        <v>521</v>
      </c>
      <c r="B23" s="144"/>
      <c r="C23" s="144"/>
      <c r="D23" s="20"/>
      <c r="E23" s="25">
        <f>0.028*A12*12</f>
        <v>539.6496</v>
      </c>
    </row>
    <row r="24" spans="1:5" ht="12.75" customHeight="1">
      <c r="A24" s="143" t="s">
        <v>522</v>
      </c>
      <c r="B24" s="144"/>
      <c r="C24" s="144"/>
      <c r="D24" s="136"/>
      <c r="E24" s="26">
        <f>0.09*A12*12</f>
        <v>1734.5879999999997</v>
      </c>
    </row>
    <row r="25" spans="1:5" ht="12.75">
      <c r="A25" s="166" t="s">
        <v>126</v>
      </c>
      <c r="B25" s="167"/>
      <c r="C25" s="167"/>
      <c r="D25" s="121"/>
      <c r="E25" s="18">
        <f>E26+E27+E28+E29+E31+E32+E33+E30</f>
        <v>33471.110400000005</v>
      </c>
    </row>
    <row r="26" spans="1:5" ht="12.75">
      <c r="A26" s="164" t="s">
        <v>529</v>
      </c>
      <c r="B26" s="165"/>
      <c r="C26" s="165"/>
      <c r="D26" s="121"/>
      <c r="E26" s="25">
        <f>76*1.5*90.3</f>
        <v>10294.199999999999</v>
      </c>
    </row>
    <row r="27" spans="1:5" ht="12.75">
      <c r="A27" s="164" t="s">
        <v>530</v>
      </c>
      <c r="B27" s="165"/>
      <c r="C27" s="165"/>
      <c r="D27" s="121"/>
      <c r="E27" s="25">
        <f>76*1.5*35.02</f>
        <v>3992.28</v>
      </c>
    </row>
    <row r="28" spans="1:5" ht="12.75">
      <c r="A28" s="164" t="s">
        <v>531</v>
      </c>
      <c r="B28" s="165"/>
      <c r="C28" s="165"/>
      <c r="D28" s="121"/>
      <c r="E28" s="26">
        <f>3100*2.73</f>
        <v>8463</v>
      </c>
    </row>
    <row r="29" spans="1:5" ht="12.75">
      <c r="A29" s="164" t="s">
        <v>523</v>
      </c>
      <c r="B29" s="165"/>
      <c r="C29" s="165"/>
      <c r="D29" s="121"/>
      <c r="E29" s="25">
        <f>0.002*A12*12</f>
        <v>38.5464</v>
      </c>
    </row>
    <row r="30" spans="1:5" ht="12.75">
      <c r="A30" s="143" t="s">
        <v>532</v>
      </c>
      <c r="B30" s="144"/>
      <c r="C30" s="144"/>
      <c r="D30" s="121"/>
      <c r="E30" s="25">
        <f>1.44*401.4</f>
        <v>578.016</v>
      </c>
    </row>
    <row r="31" spans="1:5" ht="12.75">
      <c r="A31" s="164" t="s">
        <v>524</v>
      </c>
      <c r="B31" s="165"/>
      <c r="C31" s="165"/>
      <c r="D31" s="121"/>
      <c r="E31" s="25">
        <f>0.29*A12*12</f>
        <v>5589.227999999999</v>
      </c>
    </row>
    <row r="32" spans="1:5" ht="12.75">
      <c r="A32" s="164" t="s">
        <v>513</v>
      </c>
      <c r="B32" s="165"/>
      <c r="C32" s="165"/>
      <c r="D32" s="121"/>
      <c r="E32" s="26">
        <f>36*5.44</f>
        <v>195.84</v>
      </c>
    </row>
    <row r="33" spans="1:5" ht="12" customHeight="1">
      <c r="A33" s="92" t="s">
        <v>163</v>
      </c>
      <c r="B33" s="93" t="s">
        <v>526</v>
      </c>
      <c r="C33" s="93"/>
      <c r="D33" s="121"/>
      <c r="E33" s="5">
        <f>36*120</f>
        <v>4320</v>
      </c>
    </row>
    <row r="34" spans="1:5" ht="12.75" customHeight="1">
      <c r="A34" s="145" t="s">
        <v>143</v>
      </c>
      <c r="B34" s="135"/>
      <c r="C34" s="135"/>
      <c r="D34" s="104"/>
      <c r="E34" s="105">
        <v>78230</v>
      </c>
    </row>
    <row r="35" spans="1:5" ht="12.75" customHeight="1">
      <c r="A35" s="30" t="s">
        <v>144</v>
      </c>
      <c r="B35" s="163" t="s">
        <v>533</v>
      </c>
      <c r="C35" s="163"/>
      <c r="D35" s="29"/>
      <c r="E35" s="8">
        <f>0.9*A12*12</f>
        <v>17345.88</v>
      </c>
    </row>
    <row r="36" spans="1:5" ht="12.75">
      <c r="A36" s="31" t="s">
        <v>145</v>
      </c>
      <c r="B36" s="32"/>
      <c r="C36" s="33" t="s">
        <v>534</v>
      </c>
      <c r="D36" s="34"/>
      <c r="E36" s="18">
        <f>1.24*A12*12</f>
        <v>23898.767999999996</v>
      </c>
    </row>
    <row r="37" spans="1:5" ht="12.75">
      <c r="A37" s="97" t="s">
        <v>146</v>
      </c>
      <c r="B37" s="123"/>
      <c r="C37" s="123" t="s">
        <v>525</v>
      </c>
      <c r="D37" s="124"/>
      <c r="E37" s="8">
        <f>0.003*A12*12</f>
        <v>57.819599999999994</v>
      </c>
    </row>
    <row r="38" spans="1:5" ht="12.75">
      <c r="A38" s="161" t="s">
        <v>147</v>
      </c>
      <c r="B38" s="162"/>
      <c r="C38" s="162"/>
      <c r="D38" s="125"/>
      <c r="E38" s="8">
        <f>E37+E36+E35+E25+E19+E34</f>
        <v>191276.5922</v>
      </c>
    </row>
    <row r="39" spans="1:5" ht="12.75" customHeight="1">
      <c r="A39" s="141" t="s">
        <v>323</v>
      </c>
      <c r="B39" s="142"/>
      <c r="C39" s="142"/>
      <c r="D39" s="125"/>
      <c r="E39" s="19">
        <f>E38*0.06</f>
        <v>11476.595532000001</v>
      </c>
    </row>
    <row r="40" spans="1:5" ht="12.75">
      <c r="A40" s="161" t="s">
        <v>149</v>
      </c>
      <c r="B40" s="162"/>
      <c r="C40" s="162"/>
      <c r="D40" s="125"/>
      <c r="E40" s="8">
        <f>SUM(E38:E39)</f>
        <v>202753.18773200002</v>
      </c>
    </row>
    <row r="41" spans="1:5" ht="12.75">
      <c r="A41" s="101" t="s">
        <v>139</v>
      </c>
      <c r="B41" s="38"/>
      <c r="C41" s="39"/>
      <c r="D41" s="8"/>
      <c r="E41" s="117">
        <f>E40/A12/12</f>
        <v>10.519954534379346</v>
      </c>
    </row>
    <row r="42" spans="1:5" ht="12.75">
      <c r="A42" s="102"/>
      <c r="B42" s="11"/>
      <c r="C42" s="12"/>
      <c r="D42" s="12"/>
      <c r="E42" s="51"/>
    </row>
  </sheetData>
  <mergeCells count="23">
    <mergeCell ref="A39:C39"/>
    <mergeCell ref="A40:C40"/>
    <mergeCell ref="A34:C34"/>
    <mergeCell ref="B35:C35"/>
    <mergeCell ref="A38:C38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D24"/>
    <mergeCell ref="A25:C25"/>
    <mergeCell ref="A18:C18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N17" sqref="N17"/>
    </sheetView>
  </sheetViews>
  <sheetFormatPr defaultColWidth="9.00390625" defaultRowHeight="12.75"/>
  <cols>
    <col min="1" max="1" width="18.00390625" style="78" customWidth="1"/>
    <col min="2" max="2" width="18.375" style="78" customWidth="1"/>
    <col min="3" max="3" width="17.00390625" style="78" customWidth="1"/>
    <col min="4" max="4" width="16.625" style="78" customWidth="1"/>
    <col min="5" max="5" width="13.625" style="78" customWidth="1"/>
    <col min="6" max="16384" width="9.125" style="78" customWidth="1"/>
  </cols>
  <sheetData>
    <row r="1" ht="12.75">
      <c r="C1" s="78" t="s">
        <v>142</v>
      </c>
    </row>
    <row r="2" ht="12.75">
      <c r="C2" s="78" t="s">
        <v>369</v>
      </c>
    </row>
    <row r="3" ht="12.75">
      <c r="C3" s="78" t="s">
        <v>74</v>
      </c>
    </row>
    <row r="6" spans="1:5" ht="15.75">
      <c r="A6" s="150" t="s">
        <v>154</v>
      </c>
      <c r="B6" s="151"/>
      <c r="C6" s="151"/>
      <c r="D6" s="151"/>
      <c r="E6" s="151"/>
    </row>
    <row r="7" spans="1:5" ht="12.75">
      <c r="A7" s="80" t="s">
        <v>127</v>
      </c>
      <c r="B7" s="80"/>
      <c r="C7" s="51"/>
      <c r="D7" s="51"/>
      <c r="E7" s="51"/>
    </row>
    <row r="8" spans="1:5" ht="14.25">
      <c r="A8" s="3" t="s">
        <v>553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86"/>
      <c r="C10" s="186"/>
      <c r="D10" s="186"/>
      <c r="E10" s="187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1107.8</v>
      </c>
      <c r="B12" s="82">
        <v>91.9</v>
      </c>
      <c r="C12" s="82">
        <v>245.7</v>
      </c>
      <c r="D12" s="82"/>
      <c r="E12" s="82">
        <v>926.8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554</v>
      </c>
      <c r="C14" s="157" t="s">
        <v>555</v>
      </c>
      <c r="D14" s="21"/>
      <c r="E14" s="51"/>
    </row>
    <row r="15" spans="1:5" ht="12.75">
      <c r="A15" s="178"/>
      <c r="B15" s="9" t="s">
        <v>556</v>
      </c>
      <c r="C15" s="158"/>
      <c r="D15" s="118"/>
      <c r="E15" s="51"/>
    </row>
    <row r="16" spans="1:5" ht="12.75">
      <c r="A16" s="4"/>
      <c r="B16" s="51"/>
      <c r="C16" s="51"/>
      <c r="D16" s="51"/>
      <c r="E16" s="51"/>
    </row>
    <row r="17" spans="1:5" ht="12.75">
      <c r="A17" s="168" t="s">
        <v>124</v>
      </c>
      <c r="B17" s="169"/>
      <c r="C17" s="169"/>
      <c r="D17" s="46"/>
      <c r="E17" s="84" t="s">
        <v>128</v>
      </c>
    </row>
    <row r="18" spans="1:5" ht="12.75">
      <c r="A18" s="85" t="s">
        <v>125</v>
      </c>
      <c r="B18" s="86"/>
      <c r="C18" s="86"/>
      <c r="D18" s="87"/>
      <c r="E18" s="88">
        <f>E20+E21+E22+E23</f>
        <v>19154.998799999998</v>
      </c>
    </row>
    <row r="19" spans="1:5" ht="12.75">
      <c r="A19" s="184" t="s">
        <v>137</v>
      </c>
      <c r="B19" s="185"/>
      <c r="C19" s="185"/>
      <c r="D19" s="120"/>
      <c r="E19" s="121"/>
    </row>
    <row r="20" spans="1:5" ht="12.75">
      <c r="A20" s="172" t="s">
        <v>561</v>
      </c>
      <c r="B20" s="173"/>
      <c r="C20" s="173"/>
      <c r="D20" s="122"/>
      <c r="E20" s="44">
        <f>0.11*5800*1.75*1.263*12</f>
        <v>16921.674</v>
      </c>
    </row>
    <row r="21" spans="1:5" ht="12.75" customHeight="1">
      <c r="A21" s="143" t="s">
        <v>562</v>
      </c>
      <c r="B21" s="144"/>
      <c r="C21" s="144"/>
      <c r="D21" s="20"/>
      <c r="E21" s="25">
        <f>0.04*A12*12</f>
        <v>531.7439999999999</v>
      </c>
    </row>
    <row r="22" spans="1:5" ht="12.75" customHeight="1">
      <c r="A22" s="143" t="s">
        <v>557</v>
      </c>
      <c r="B22" s="144"/>
      <c r="C22" s="144"/>
      <c r="D22" s="20"/>
      <c r="E22" s="25">
        <f>0.028*A12*12</f>
        <v>372.2208</v>
      </c>
    </row>
    <row r="23" spans="1:5" ht="12.75" customHeight="1">
      <c r="A23" s="143" t="s">
        <v>563</v>
      </c>
      <c r="B23" s="144"/>
      <c r="C23" s="144"/>
      <c r="D23" s="136"/>
      <c r="E23" s="26">
        <f>0.1*A12*12</f>
        <v>1329.3600000000001</v>
      </c>
    </row>
    <row r="24" spans="1:5" ht="12.75">
      <c r="A24" s="166" t="s">
        <v>126</v>
      </c>
      <c r="B24" s="167"/>
      <c r="C24" s="167"/>
      <c r="D24" s="121"/>
      <c r="E24" s="18">
        <f>E25+E26+E27+E28+E30+E31+E32+E29</f>
        <v>30285.5112</v>
      </c>
    </row>
    <row r="25" spans="1:5" ht="12.75">
      <c r="A25" s="164" t="s">
        <v>564</v>
      </c>
      <c r="B25" s="165"/>
      <c r="C25" s="165"/>
      <c r="D25" s="121"/>
      <c r="E25" s="25">
        <f>82*1.5*90.3</f>
        <v>11106.9</v>
      </c>
    </row>
    <row r="26" spans="1:5" ht="12.75">
      <c r="A26" s="164" t="s">
        <v>565</v>
      </c>
      <c r="B26" s="165"/>
      <c r="C26" s="165"/>
      <c r="D26" s="121"/>
      <c r="E26" s="25">
        <f>82*1.5*35.02</f>
        <v>4307.46</v>
      </c>
    </row>
    <row r="27" spans="1:5" ht="12.75">
      <c r="A27" s="164" t="s">
        <v>566</v>
      </c>
      <c r="B27" s="165"/>
      <c r="C27" s="165"/>
      <c r="D27" s="121"/>
      <c r="E27" s="26">
        <f>2550*2.73</f>
        <v>6961.5</v>
      </c>
    </row>
    <row r="28" spans="1:5" ht="12.75">
      <c r="A28" s="164" t="s">
        <v>558</v>
      </c>
      <c r="B28" s="165"/>
      <c r="C28" s="165"/>
      <c r="D28" s="121"/>
      <c r="E28" s="25">
        <f>0.002*A12*12</f>
        <v>26.587199999999996</v>
      </c>
    </row>
    <row r="29" spans="1:5" ht="12.75">
      <c r="A29" s="143" t="s">
        <v>567</v>
      </c>
      <c r="B29" s="144"/>
      <c r="C29" s="144"/>
      <c r="D29" s="121"/>
      <c r="E29" s="25">
        <f>1.44*437</f>
        <v>629.28</v>
      </c>
    </row>
    <row r="30" spans="1:5" ht="12.75">
      <c r="A30" s="164" t="s">
        <v>559</v>
      </c>
      <c r="B30" s="165"/>
      <c r="C30" s="165"/>
      <c r="D30" s="121"/>
      <c r="E30" s="25">
        <f>0.29*A12*12</f>
        <v>3855.1439999999993</v>
      </c>
    </row>
    <row r="31" spans="1:5" ht="12.75">
      <c r="A31" s="164" t="s">
        <v>568</v>
      </c>
      <c r="B31" s="165"/>
      <c r="C31" s="165"/>
      <c r="D31" s="121"/>
      <c r="E31" s="26">
        <f>24*5.44+24*16.17</f>
        <v>518.6400000000001</v>
      </c>
    </row>
    <row r="32" spans="1:5" ht="12" customHeight="1">
      <c r="A32" s="92" t="s">
        <v>163</v>
      </c>
      <c r="B32" s="93" t="s">
        <v>569</v>
      </c>
      <c r="C32" s="93"/>
      <c r="D32" s="121"/>
      <c r="E32" s="5">
        <f>24*120</f>
        <v>2880</v>
      </c>
    </row>
    <row r="33" spans="1:5" ht="12.75" customHeight="1">
      <c r="A33" s="145" t="s">
        <v>143</v>
      </c>
      <c r="B33" s="135"/>
      <c r="C33" s="135"/>
      <c r="D33" s="104"/>
      <c r="E33" s="105">
        <v>54000</v>
      </c>
    </row>
    <row r="34" spans="1:5" ht="12.75" customHeight="1">
      <c r="A34" s="30" t="s">
        <v>144</v>
      </c>
      <c r="B34" s="163" t="s">
        <v>570</v>
      </c>
      <c r="C34" s="163"/>
      <c r="D34" s="29"/>
      <c r="E34" s="8">
        <f>0.9*A12*12</f>
        <v>11964.24</v>
      </c>
    </row>
    <row r="35" spans="1:5" ht="12.75">
      <c r="A35" s="31" t="s">
        <v>145</v>
      </c>
      <c r="B35" s="32"/>
      <c r="C35" s="33" t="s">
        <v>571</v>
      </c>
      <c r="D35" s="34"/>
      <c r="E35" s="18">
        <f>1.24*A12*12</f>
        <v>16484.064</v>
      </c>
    </row>
    <row r="36" spans="1:5" ht="12.75">
      <c r="A36" s="97" t="s">
        <v>146</v>
      </c>
      <c r="B36" s="123"/>
      <c r="C36" s="123" t="s">
        <v>560</v>
      </c>
      <c r="D36" s="124"/>
      <c r="E36" s="8">
        <f>0.003*A12*12</f>
        <v>39.8808</v>
      </c>
    </row>
    <row r="37" spans="1:5" ht="12.75">
      <c r="A37" s="161" t="s">
        <v>147</v>
      </c>
      <c r="B37" s="162"/>
      <c r="C37" s="162"/>
      <c r="D37" s="125"/>
      <c r="E37" s="8">
        <f>E36+E35+E34+E24+E18+E33</f>
        <v>131928.6948</v>
      </c>
    </row>
    <row r="38" spans="1:5" ht="12.75" customHeight="1">
      <c r="A38" s="141" t="s">
        <v>323</v>
      </c>
      <c r="B38" s="142"/>
      <c r="C38" s="142"/>
      <c r="D38" s="125"/>
      <c r="E38" s="19">
        <f>E37*0.06</f>
        <v>7915.721688</v>
      </c>
    </row>
    <row r="39" spans="1:5" ht="12.75">
      <c r="A39" s="161" t="s">
        <v>149</v>
      </c>
      <c r="B39" s="162"/>
      <c r="C39" s="162"/>
      <c r="D39" s="125"/>
      <c r="E39" s="8">
        <f>SUM(E37:E38)</f>
        <v>139844.416488</v>
      </c>
    </row>
    <row r="40" spans="1:5" ht="12.75">
      <c r="A40" s="101" t="s">
        <v>139</v>
      </c>
      <c r="B40" s="38"/>
      <c r="C40" s="39"/>
      <c r="D40" s="8"/>
      <c r="E40" s="117">
        <f>E39/A12/12</f>
        <v>10.519679882650298</v>
      </c>
    </row>
    <row r="41" spans="1:5" ht="12.75">
      <c r="A41" s="102"/>
      <c r="B41" s="11"/>
      <c r="C41" s="12"/>
      <c r="D41" s="12"/>
      <c r="E41" s="51"/>
    </row>
  </sheetData>
  <mergeCells count="23">
    <mergeCell ref="A39:C39"/>
    <mergeCell ref="A33:C33"/>
    <mergeCell ref="B34:C34"/>
    <mergeCell ref="A37:C37"/>
    <mergeCell ref="A38:C38"/>
    <mergeCell ref="A30:C30"/>
    <mergeCell ref="A31:C31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B41" sqref="B41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1:5" ht="12.75">
      <c r="A3" s="78"/>
      <c r="B3" s="78"/>
      <c r="C3" s="78" t="s">
        <v>74</v>
      </c>
      <c r="D3" s="78"/>
      <c r="E3" s="78"/>
    </row>
    <row r="4" spans="1:5" ht="12.75">
      <c r="A4" s="78"/>
      <c r="B4" s="78"/>
      <c r="C4" s="78"/>
      <c r="D4" s="78"/>
      <c r="E4" s="78"/>
    </row>
    <row r="5" spans="1:5" ht="12.75">
      <c r="A5" s="78"/>
      <c r="B5" s="78"/>
      <c r="C5" s="78"/>
      <c r="D5" s="78"/>
      <c r="E5" s="78"/>
    </row>
    <row r="6" spans="1:15" ht="22.5" customHeight="1">
      <c r="A6" s="150" t="s">
        <v>154</v>
      </c>
      <c r="B6" s="151"/>
      <c r="C6" s="151"/>
      <c r="D6" s="151"/>
      <c r="E6" s="15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03" t="s">
        <v>758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2571.2</v>
      </c>
      <c r="B12" s="58">
        <v>193.2</v>
      </c>
      <c r="C12" s="58">
        <v>345</v>
      </c>
      <c r="D12" s="58"/>
      <c r="E12" s="58">
        <v>3870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759</v>
      </c>
      <c r="C14" s="157" t="s">
        <v>760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761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39480.4926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766</v>
      </c>
      <c r="B20" s="149"/>
      <c r="C20" s="149"/>
      <c r="D20" s="43"/>
      <c r="E20" s="44">
        <f>0.241*5800*1.75*1.263*12</f>
        <v>37073.8494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767</v>
      </c>
      <c r="B21" s="144"/>
      <c r="C21" s="144"/>
      <c r="D21" s="20"/>
      <c r="E21" s="25">
        <f>0.04*A12*12</f>
        <v>1234.176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762</v>
      </c>
      <c r="B22" s="144"/>
      <c r="C22" s="144"/>
      <c r="D22" s="20"/>
      <c r="E22" s="25">
        <f>0.028*A12*12</f>
        <v>863.9232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0</v>
      </c>
      <c r="B23" s="144"/>
      <c r="C23" s="144"/>
      <c r="D23" s="136"/>
      <c r="E23" s="26">
        <f>0.01*A12*12</f>
        <v>308.544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54319.2448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1</v>
      </c>
      <c r="B25" s="144"/>
      <c r="C25" s="144"/>
      <c r="D25" s="20"/>
      <c r="E25" s="25">
        <f>146*1.5*90.3</f>
        <v>19775.7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2</v>
      </c>
      <c r="B26" s="144"/>
      <c r="C26" s="144"/>
      <c r="D26" s="20"/>
      <c r="E26" s="25">
        <f>146*1.5*35.02</f>
        <v>7669.380000000001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3</v>
      </c>
      <c r="B27" s="144"/>
      <c r="C27" s="144"/>
      <c r="D27" s="20"/>
      <c r="E27" s="26">
        <f>4900*2.73</f>
        <v>13377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763</v>
      </c>
      <c r="B28" s="144"/>
      <c r="C28" s="144"/>
      <c r="D28" s="20"/>
      <c r="E28" s="25">
        <f>0.002*A12*12</f>
        <v>61.7088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764</v>
      </c>
      <c r="B29" s="144"/>
      <c r="C29" s="144"/>
      <c r="D29" s="20"/>
      <c r="E29" s="25">
        <f>0.29*A12*12</f>
        <v>8947.775999999998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617</v>
      </c>
      <c r="B30" s="144"/>
      <c r="C30" s="144"/>
      <c r="D30" s="20"/>
      <c r="E30" s="26">
        <f>64*5.44+64*16.17*4</f>
        <v>4487.68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163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146300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4</v>
      </c>
      <c r="D33" s="29"/>
      <c r="E33" s="18">
        <f>0.9*A12*12</f>
        <v>27768.96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37" t="s">
        <v>609</v>
      </c>
      <c r="B34" s="138"/>
      <c r="C34" s="138"/>
      <c r="D34" s="29" t="s">
        <v>5</v>
      </c>
      <c r="E34" s="18">
        <f>1.24*A12*12</f>
        <v>38259.45599999999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765</v>
      </c>
      <c r="D35" s="37"/>
      <c r="E35" s="8">
        <f>0.003*A12*12</f>
        <v>92.5632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306220.7166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18373.242995999997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324593.959596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E38/A12/12</f>
        <v>10.520183818061605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2" t="s">
        <v>185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G22" sqref="G22:I25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266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2715.6</v>
      </c>
      <c r="B12" s="48">
        <v>266</v>
      </c>
      <c r="C12" s="48">
        <v>981.1</v>
      </c>
      <c r="D12" s="48"/>
      <c r="E12" s="6">
        <v>2943.7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267</v>
      </c>
      <c r="C14" s="157" t="s">
        <v>269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81"/>
      <c r="B15" s="49" t="s">
        <v>268</v>
      </c>
      <c r="C15" s="18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67047.55055999999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270</v>
      </c>
      <c r="B20" s="149"/>
      <c r="C20" s="149"/>
      <c r="D20" s="43"/>
      <c r="E20" s="44">
        <f>0.42*5800*1.75*1.263*12</f>
        <v>64610.028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272</v>
      </c>
      <c r="B21" s="144"/>
      <c r="C21" s="144"/>
      <c r="D21" s="20"/>
      <c r="E21" s="25">
        <f>0.028*A12*12</f>
        <v>912.4416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273</v>
      </c>
      <c r="B22" s="144"/>
      <c r="C22" s="144"/>
      <c r="D22" s="20"/>
      <c r="E22" s="25">
        <f>0.014*A12*12</f>
        <v>456.2208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274</v>
      </c>
      <c r="B23" s="144"/>
      <c r="C23" s="144"/>
      <c r="D23" s="136"/>
      <c r="E23" s="26">
        <f>0.0328*A12*12</f>
        <v>1068.86016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64360.462400000004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43" t="s">
        <v>275</v>
      </c>
      <c r="B25" s="144"/>
      <c r="C25" s="144"/>
      <c r="D25" s="20"/>
      <c r="E25" s="25">
        <f>210*90.3</f>
        <v>18963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276</v>
      </c>
      <c r="B26" s="144"/>
      <c r="C26" s="144"/>
      <c r="D26" s="20"/>
      <c r="E26" s="25">
        <f>210*35.02</f>
        <v>7354.200000000001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406</v>
      </c>
      <c r="B27" s="144"/>
      <c r="C27" s="144"/>
      <c r="D27" s="20"/>
      <c r="E27" s="26">
        <f>6300*2.73</f>
        <v>17199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277</v>
      </c>
      <c r="B28" s="144"/>
      <c r="C28" s="144"/>
      <c r="D28" s="20"/>
      <c r="E28" s="25">
        <f>0.002*A12*12</f>
        <v>65.17439999999999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222</v>
      </c>
      <c r="B29" s="144"/>
      <c r="C29" s="144"/>
      <c r="D29" s="20"/>
      <c r="E29" s="25">
        <f>0.29*A12*12</f>
        <v>9450.287999999999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250</v>
      </c>
      <c r="B30" s="144"/>
      <c r="C30" s="144"/>
      <c r="D30" s="20"/>
      <c r="E30" s="26">
        <f>80*5.44+80*16.17</f>
        <v>1728.8000000000002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271</v>
      </c>
      <c r="C31" s="28"/>
      <c r="D31" s="20"/>
      <c r="E31" s="5">
        <f>80*120</f>
        <v>9600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122085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251</v>
      </c>
      <c r="D33" s="29"/>
      <c r="E33" s="18">
        <f>0.9*A12*12</f>
        <v>29328.48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37" t="s">
        <v>252</v>
      </c>
      <c r="B34" s="138"/>
      <c r="C34" s="138"/>
      <c r="D34" s="29"/>
      <c r="E34" s="18">
        <f>1.24*A12*12</f>
        <v>40408.128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223</v>
      </c>
      <c r="D35" s="37"/>
      <c r="E35" s="8">
        <f>0.003*A12*12</f>
        <v>97.76160000000002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323327.38256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19399.6429536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342727.0255136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 t="s">
        <v>127</v>
      </c>
      <c r="E39" s="55">
        <f>E38/A12/12</f>
        <v>10.517228406049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hidden="1">
      <c r="A41" s="10" t="s">
        <v>141</v>
      </c>
      <c r="B41" s="11"/>
      <c r="C41" s="56" t="s">
        <v>184</v>
      </c>
      <c r="D41" s="159" t="s">
        <v>160</v>
      </c>
      <c r="E41" s="160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2" t="s">
        <v>186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 t="s">
        <v>185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30:C30"/>
    <mergeCell ref="A32:C32"/>
    <mergeCell ref="D41:E41"/>
    <mergeCell ref="A34:C34"/>
    <mergeCell ref="A36:C36"/>
    <mergeCell ref="A37:C37"/>
    <mergeCell ref="A38:C38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6">
      <selection activeCell="G22" sqref="G22:I24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216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3579.9</v>
      </c>
      <c r="B12" s="48">
        <v>276</v>
      </c>
      <c r="C12" s="48">
        <v>1219</v>
      </c>
      <c r="D12" s="48"/>
      <c r="E12" s="6">
        <v>2756.4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217</v>
      </c>
      <c r="C14" s="157" t="s">
        <v>219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81"/>
      <c r="B15" s="49" t="s">
        <v>218</v>
      </c>
      <c r="C15" s="18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80130.01823999999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72</v>
      </c>
      <c r="B20" s="149"/>
      <c r="C20" s="149"/>
      <c r="D20" s="43"/>
      <c r="E20" s="44">
        <v>76916.7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220</v>
      </c>
      <c r="B21" s="144"/>
      <c r="C21" s="144"/>
      <c r="D21" s="20"/>
      <c r="E21" s="25">
        <f>0.028*A12*12</f>
        <v>1202.8464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245</v>
      </c>
      <c r="B22" s="144"/>
      <c r="C22" s="144"/>
      <c r="D22" s="20"/>
      <c r="E22" s="25">
        <f>0.014*A12*12</f>
        <v>601.4232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246</v>
      </c>
      <c r="B23" s="144"/>
      <c r="C23" s="144"/>
      <c r="D23" s="136"/>
      <c r="E23" s="26">
        <f>0.0328*A12*12</f>
        <v>1409.0486400000002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68387.3696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43" t="s">
        <v>247</v>
      </c>
      <c r="B25" s="144"/>
      <c r="C25" s="144"/>
      <c r="D25" s="20"/>
      <c r="E25" s="25">
        <f>255*90.3</f>
        <v>23026.5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248</v>
      </c>
      <c r="B26" s="144"/>
      <c r="C26" s="144"/>
      <c r="D26" s="20"/>
      <c r="E26" s="25">
        <f>255*35.02</f>
        <v>8930.1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249</v>
      </c>
      <c r="B27" s="144"/>
      <c r="C27" s="144"/>
      <c r="D27" s="20"/>
      <c r="E27" s="26">
        <f>4600*2.73</f>
        <v>12558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221</v>
      </c>
      <c r="B28" s="144"/>
      <c r="C28" s="144"/>
      <c r="D28" s="20"/>
      <c r="E28" s="25">
        <f>0.002*A12*12</f>
        <v>85.91760000000001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222</v>
      </c>
      <c r="B29" s="144"/>
      <c r="C29" s="144"/>
      <c r="D29" s="20"/>
      <c r="E29" s="25">
        <f>0.29*A12*12</f>
        <v>12458.052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250</v>
      </c>
      <c r="B30" s="144"/>
      <c r="C30" s="144"/>
      <c r="D30" s="20"/>
      <c r="E30" s="26">
        <f>80*5.44+80*16.17</f>
        <v>1728.8000000000002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75</v>
      </c>
      <c r="C31" s="28"/>
      <c r="D31" s="20"/>
      <c r="E31" s="5">
        <f>80*120</f>
        <v>9600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185785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251</v>
      </c>
      <c r="D33" s="29"/>
      <c r="E33" s="18">
        <f>0.9*A12*12</f>
        <v>38662.920000000006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37" t="s">
        <v>252</v>
      </c>
      <c r="B34" s="138"/>
      <c r="C34" s="138"/>
      <c r="D34" s="29"/>
      <c r="E34" s="18">
        <f>1.24*A12*12</f>
        <v>53268.912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223</v>
      </c>
      <c r="D35" s="37"/>
      <c r="E35" s="8">
        <f>0.003*A12*12</f>
        <v>128.87640000000002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426363.09624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25581.7857744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451944.8820144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 t="s">
        <v>127</v>
      </c>
      <c r="E39" s="117">
        <f>E38/A12/12</f>
        <v>10.520426129556691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hidden="1">
      <c r="A41" s="10" t="s">
        <v>141</v>
      </c>
      <c r="B41" s="11"/>
      <c r="C41" s="56" t="s">
        <v>184</v>
      </c>
      <c r="D41" s="159" t="s">
        <v>160</v>
      </c>
      <c r="E41" s="160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2" t="s">
        <v>186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 t="s">
        <v>185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30:C30"/>
    <mergeCell ref="A32:C32"/>
    <mergeCell ref="D41:E41"/>
    <mergeCell ref="A34:C34"/>
    <mergeCell ref="A36:C36"/>
    <mergeCell ref="A37:C37"/>
    <mergeCell ref="A38:C38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G14" sqref="G14"/>
    </sheetView>
  </sheetViews>
  <sheetFormatPr defaultColWidth="9.00390625" defaultRowHeight="12.75"/>
  <cols>
    <col min="1" max="1" width="12.375" style="0" customWidth="1"/>
    <col min="2" max="2" width="19.625" style="0" customWidth="1"/>
    <col min="3" max="3" width="18.875" style="0" customWidth="1"/>
    <col min="4" max="4" width="15.625" style="0" customWidth="1"/>
    <col min="5" max="5" width="13.87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74</v>
      </c>
      <c r="D3" s="54"/>
    </row>
    <row r="4" spans="3:4" ht="15">
      <c r="C4" s="54"/>
      <c r="D4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5" customHeight="1">
      <c r="A8" s="3" t="s">
        <v>281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52" t="s">
        <v>131</v>
      </c>
      <c r="B10" s="153"/>
      <c r="C10" s="153"/>
      <c r="D10" s="153"/>
      <c r="E10" s="154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4.25">
      <c r="A12" s="50">
        <v>2044</v>
      </c>
      <c r="B12" s="48">
        <v>146.8</v>
      </c>
      <c r="C12" s="48">
        <v>400</v>
      </c>
      <c r="D12" s="48"/>
      <c r="E12" s="6">
        <v>1500</v>
      </c>
    </row>
    <row r="13" spans="1:5" ht="14.25">
      <c r="A13" s="3"/>
      <c r="B13" s="1"/>
      <c r="C13" s="1"/>
      <c r="D13" s="1"/>
      <c r="E13" s="1"/>
    </row>
    <row r="14" spans="1:5" ht="12.75">
      <c r="A14" s="155" t="s">
        <v>136</v>
      </c>
      <c r="B14" s="49" t="s">
        <v>253</v>
      </c>
      <c r="C14" s="157" t="s">
        <v>282</v>
      </c>
      <c r="D14" s="21"/>
      <c r="E14" s="1"/>
    </row>
    <row r="15" spans="1:5" ht="12.75">
      <c r="A15" s="181"/>
      <c r="B15" s="49" t="s">
        <v>254</v>
      </c>
      <c r="C15" s="18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3" t="s">
        <v>124</v>
      </c>
      <c r="B17" s="134"/>
      <c r="C17" s="134"/>
      <c r="D17" s="46"/>
      <c r="E17" s="47" t="s">
        <v>128</v>
      </c>
    </row>
    <row r="18" spans="1:5" ht="12.75">
      <c r="A18" s="40" t="s">
        <v>125</v>
      </c>
      <c r="B18" s="41"/>
      <c r="C18" s="41"/>
      <c r="D18" s="42"/>
      <c r="E18" s="23">
        <f>E20+E21+E22+E23</f>
        <v>29524.706399999995</v>
      </c>
    </row>
    <row r="19" spans="1:5" ht="12.75">
      <c r="A19" s="146" t="s">
        <v>137</v>
      </c>
      <c r="B19" s="147"/>
      <c r="C19" s="147"/>
      <c r="D19" s="45"/>
      <c r="E19" s="20"/>
    </row>
    <row r="20" spans="1:5" ht="12.75">
      <c r="A20" s="148" t="s">
        <v>255</v>
      </c>
      <c r="B20" s="149"/>
      <c r="C20" s="149"/>
      <c r="D20" s="43"/>
      <c r="E20" s="44">
        <f>0.18*5800*1.75*1.263*12</f>
        <v>27690.011999999995</v>
      </c>
    </row>
    <row r="21" spans="1:5" ht="12.75">
      <c r="A21" s="143" t="s">
        <v>256</v>
      </c>
      <c r="B21" s="144"/>
      <c r="C21" s="144"/>
      <c r="D21" s="20"/>
      <c r="E21" s="25">
        <f>0.028*A12*12</f>
        <v>686.784</v>
      </c>
    </row>
    <row r="22" spans="1:5" ht="12.75">
      <c r="A22" s="143" t="s">
        <v>257</v>
      </c>
      <c r="B22" s="144"/>
      <c r="C22" s="144"/>
      <c r="D22" s="20"/>
      <c r="E22" s="25">
        <f>0.014*A12*12</f>
        <v>343.392</v>
      </c>
    </row>
    <row r="23" spans="1:5" ht="12.75">
      <c r="A23" s="143" t="s">
        <v>258</v>
      </c>
      <c r="B23" s="144"/>
      <c r="C23" s="144"/>
      <c r="D23" s="136"/>
      <c r="E23" s="26">
        <f>0.0328*A12*12</f>
        <v>804.5183999999999</v>
      </c>
    </row>
    <row r="24" spans="1:5" ht="12.75">
      <c r="A24" s="131" t="s">
        <v>126</v>
      </c>
      <c r="B24" s="132"/>
      <c r="C24" s="132"/>
      <c r="D24" s="20"/>
      <c r="E24" s="18">
        <f>E25+E26+E27+E28+E29+E30+E31</f>
        <v>45218.136000000006</v>
      </c>
    </row>
    <row r="25" spans="1:5" ht="12.75">
      <c r="A25" s="143" t="s">
        <v>259</v>
      </c>
      <c r="B25" s="144"/>
      <c r="C25" s="144"/>
      <c r="D25" s="20"/>
      <c r="E25" s="25">
        <f>90*1.5*90.3</f>
        <v>12190.5</v>
      </c>
    </row>
    <row r="26" spans="1:5" ht="12.75">
      <c r="A26" s="143" t="s">
        <v>283</v>
      </c>
      <c r="B26" s="144"/>
      <c r="C26" s="144"/>
      <c r="D26" s="20"/>
      <c r="E26" s="25">
        <f>90*1.5*35.02</f>
        <v>4727.700000000001</v>
      </c>
    </row>
    <row r="27" spans="1:5" ht="12.75">
      <c r="A27" s="143" t="s">
        <v>260</v>
      </c>
      <c r="B27" s="144"/>
      <c r="C27" s="144"/>
      <c r="D27" s="20"/>
      <c r="E27" s="26">
        <f>4400*2.73</f>
        <v>12012</v>
      </c>
    </row>
    <row r="28" spans="1:5" ht="12.75">
      <c r="A28" s="143" t="s">
        <v>261</v>
      </c>
      <c r="B28" s="144"/>
      <c r="C28" s="144"/>
      <c r="D28" s="20"/>
      <c r="E28" s="25">
        <f>0.002*A12*12</f>
        <v>49.056</v>
      </c>
    </row>
    <row r="29" spans="1:5" ht="12.75">
      <c r="A29" s="143" t="s">
        <v>262</v>
      </c>
      <c r="B29" s="144"/>
      <c r="C29" s="144"/>
      <c r="D29" s="20"/>
      <c r="E29" s="25">
        <f>0.29*A12*12</f>
        <v>7113.12</v>
      </c>
    </row>
    <row r="30" spans="1:5" ht="12.75">
      <c r="A30" s="143" t="s">
        <v>265</v>
      </c>
      <c r="B30" s="144"/>
      <c r="C30" s="144"/>
      <c r="D30" s="20"/>
      <c r="E30" s="26">
        <f>48*5.44+(48*16.17*4)</f>
        <v>3365.76</v>
      </c>
    </row>
    <row r="31" spans="1:5" ht="12.75">
      <c r="A31" s="27" t="s">
        <v>140</v>
      </c>
      <c r="B31" s="28" t="s">
        <v>243</v>
      </c>
      <c r="C31" s="28"/>
      <c r="D31" s="20"/>
      <c r="E31" s="5">
        <f>48*120</f>
        <v>5760</v>
      </c>
    </row>
    <row r="32" spans="1:5" ht="12.75">
      <c r="A32" s="145" t="s">
        <v>143</v>
      </c>
      <c r="B32" s="135"/>
      <c r="C32" s="135"/>
      <c r="D32" s="29"/>
      <c r="E32" s="8">
        <v>116130</v>
      </c>
    </row>
    <row r="33" spans="1:5" ht="12.75">
      <c r="A33" s="52" t="s">
        <v>159</v>
      </c>
      <c r="B33" s="53"/>
      <c r="C33" s="53" t="s">
        <v>263</v>
      </c>
      <c r="D33" s="29"/>
      <c r="E33" s="18">
        <f>0.9*A12*12</f>
        <v>22075.2</v>
      </c>
    </row>
    <row r="34" spans="1:5" ht="12.75">
      <c r="A34" s="188" t="s">
        <v>278</v>
      </c>
      <c r="B34" s="189"/>
      <c r="C34" s="189"/>
      <c r="D34" s="29"/>
      <c r="E34" s="18">
        <f>1.24*A12*12</f>
        <v>30414.72</v>
      </c>
    </row>
    <row r="35" spans="1:5" ht="12.75">
      <c r="A35" s="35" t="s">
        <v>93</v>
      </c>
      <c r="B35" s="36"/>
      <c r="C35" s="36" t="s">
        <v>264</v>
      </c>
      <c r="D35" s="37"/>
      <c r="E35" s="8">
        <f>0.003*A12*12</f>
        <v>73.584</v>
      </c>
    </row>
    <row r="36" spans="1:5" ht="12.75">
      <c r="A36" s="139" t="s">
        <v>279</v>
      </c>
      <c r="B36" s="140"/>
      <c r="C36" s="140"/>
      <c r="D36" s="29"/>
      <c r="E36" s="8">
        <f>E35+E34+E33+E32+E24+E18</f>
        <v>243436.3464</v>
      </c>
    </row>
    <row r="37" spans="1:5" ht="12.75">
      <c r="A37" s="141" t="s">
        <v>280</v>
      </c>
      <c r="B37" s="142"/>
      <c r="C37" s="142"/>
      <c r="D37" s="29"/>
      <c r="E37" s="19">
        <f>E36*0.06</f>
        <v>14606.180784</v>
      </c>
    </row>
    <row r="38" spans="1:5" ht="12.75">
      <c r="A38" s="139" t="s">
        <v>149</v>
      </c>
      <c r="B38" s="140"/>
      <c r="C38" s="140"/>
      <c r="D38" s="29"/>
      <c r="E38" s="8">
        <f>SUM(E36:E37)</f>
        <v>258042.527184</v>
      </c>
    </row>
    <row r="39" spans="1:5" ht="12.75">
      <c r="A39" s="7" t="s">
        <v>139</v>
      </c>
      <c r="B39" s="38"/>
      <c r="C39" s="39"/>
      <c r="D39" s="8" t="s">
        <v>127</v>
      </c>
      <c r="E39" s="117">
        <f>E38/A12/12</f>
        <v>10.52032481996086</v>
      </c>
    </row>
    <row r="40" spans="1:5" ht="12.75">
      <c r="A40" s="10"/>
      <c r="B40" s="11"/>
      <c r="C40" s="12"/>
      <c r="D40" s="12"/>
      <c r="E40" s="1"/>
    </row>
    <row r="43" ht="12.75">
      <c r="A43" s="62" t="s">
        <v>186</v>
      </c>
    </row>
    <row r="44" ht="12.75">
      <c r="A44" s="16" t="s">
        <v>185</v>
      </c>
    </row>
  </sheetData>
  <mergeCells count="22">
    <mergeCell ref="A36:C36"/>
    <mergeCell ref="A37:C37"/>
    <mergeCell ref="A38:C38"/>
    <mergeCell ref="A30:C30"/>
    <mergeCell ref="A32:C32"/>
    <mergeCell ref="A34:C34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0.7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H14" sqref="H14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2050.9</v>
      </c>
      <c r="B12" s="48">
        <v>237.2</v>
      </c>
      <c r="C12" s="48">
        <v>566.5</v>
      </c>
      <c r="D12" s="48"/>
      <c r="E12" s="6">
        <v>863.9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671</v>
      </c>
      <c r="C14" s="157" t="s">
        <v>672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81"/>
      <c r="B15" s="49" t="s">
        <v>673</v>
      </c>
      <c r="C15" s="18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36439.6284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679</v>
      </c>
      <c r="B20" s="149"/>
      <c r="C20" s="149"/>
      <c r="D20" s="43"/>
      <c r="E20" s="44">
        <f>0.21*5800*1.75*1.263*12</f>
        <v>32305.014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680</v>
      </c>
      <c r="B21" s="144"/>
      <c r="C21" s="144"/>
      <c r="D21" s="20"/>
      <c r="E21" s="25">
        <f>0.04*A12*12</f>
        <v>984.432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674</v>
      </c>
      <c r="B22" s="144"/>
      <c r="C22" s="144"/>
      <c r="D22" s="20"/>
      <c r="E22" s="25">
        <f>0.028*A12*12</f>
        <v>689.1024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681</v>
      </c>
      <c r="B23" s="144"/>
      <c r="C23" s="144"/>
      <c r="D23" s="136"/>
      <c r="E23" s="26">
        <f>0.1*A12*12</f>
        <v>2461.0800000000004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32535.993600000005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43" t="s">
        <v>682</v>
      </c>
      <c r="B25" s="144"/>
      <c r="C25" s="144"/>
      <c r="D25" s="20"/>
      <c r="E25" s="25">
        <f>62*1.5*90.3</f>
        <v>8397.9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683</v>
      </c>
      <c r="B26" s="144"/>
      <c r="C26" s="144"/>
      <c r="D26" s="20"/>
      <c r="E26" s="25">
        <f>62*1.5*35.02</f>
        <v>3256.86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260</v>
      </c>
      <c r="B27" s="144"/>
      <c r="C27" s="144"/>
      <c r="D27" s="20"/>
      <c r="E27" s="26">
        <f>4400*2.73</f>
        <v>12012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675</v>
      </c>
      <c r="B28" s="144"/>
      <c r="C28" s="144"/>
      <c r="D28" s="20"/>
      <c r="E28" s="25">
        <f>0.002*A12*12</f>
        <v>49.221599999999995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676</v>
      </c>
      <c r="B29" s="144"/>
      <c r="C29" s="144"/>
      <c r="D29" s="20"/>
      <c r="E29" s="25">
        <f>0.29*A12*12</f>
        <v>7137.132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684</v>
      </c>
      <c r="B30" s="144"/>
      <c r="C30" s="144"/>
      <c r="D30" s="20"/>
      <c r="E30" s="26">
        <f>24*5.44+24*16.17*4</f>
        <v>1682.88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112325.5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685</v>
      </c>
      <c r="D33" s="29"/>
      <c r="E33" s="18">
        <f>0.9*A12*12</f>
        <v>22149.72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37" t="s">
        <v>677</v>
      </c>
      <c r="B34" s="138"/>
      <c r="C34" s="138"/>
      <c r="D34" s="29" t="s">
        <v>686</v>
      </c>
      <c r="E34" s="18">
        <f>1.24*A12*12</f>
        <v>30517.392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678</v>
      </c>
      <c r="D35" s="37"/>
      <c r="E35" s="8">
        <f>0.003*A12*12</f>
        <v>73.8324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234042.0664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14042.523984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248084.590384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 t="s">
        <v>127</v>
      </c>
      <c r="E39" s="117">
        <f>E38/A12/12</f>
        <v>10.080313942821851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4"/>
      <c r="C41" s="15"/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62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127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22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H31" sqref="H31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687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1958.7</v>
      </c>
      <c r="B12" s="48">
        <v>128.4</v>
      </c>
      <c r="C12" s="48">
        <v>834.6</v>
      </c>
      <c r="D12" s="48">
        <v>325</v>
      </c>
      <c r="E12" s="6">
        <v>1025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688</v>
      </c>
      <c r="C14" s="157" t="s">
        <v>689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90"/>
      <c r="B15" t="s">
        <v>690</v>
      </c>
      <c r="C15" s="191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81"/>
      <c r="B16" s="49" t="s">
        <v>691</v>
      </c>
      <c r="C16" s="18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3" t="s">
        <v>124</v>
      </c>
      <c r="B18" s="134"/>
      <c r="C18" s="134"/>
      <c r="D18" s="46"/>
      <c r="E18" s="47" t="s">
        <v>128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125</v>
      </c>
      <c r="B19" s="41"/>
      <c r="C19" s="41"/>
      <c r="D19" s="42"/>
      <c r="E19" s="23">
        <f>E21+E22+E23+E24</f>
        <v>70097.1012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6" t="s">
        <v>137</v>
      </c>
      <c r="B20" s="147"/>
      <c r="C20" s="147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8" t="s">
        <v>697</v>
      </c>
      <c r="B21" s="149"/>
      <c r="C21" s="149"/>
      <c r="D21" s="43"/>
      <c r="E21" s="44">
        <f>0.43*5800*1.75*1.263*12</f>
        <v>66148.362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698</v>
      </c>
      <c r="B22" s="144"/>
      <c r="C22" s="144"/>
      <c r="D22" s="20"/>
      <c r="E22" s="25">
        <f>0.04*A12*12</f>
        <v>940.1759999999999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692</v>
      </c>
      <c r="B23" s="144"/>
      <c r="C23" s="144"/>
      <c r="D23" s="20"/>
      <c r="E23" s="25">
        <f>0.028*A12*12</f>
        <v>658.1232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43" t="s">
        <v>699</v>
      </c>
      <c r="B24" s="144"/>
      <c r="C24" s="144"/>
      <c r="D24" s="136"/>
      <c r="E24" s="26">
        <f>0.1*A12*12</f>
        <v>2350.44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1" t="s">
        <v>126</v>
      </c>
      <c r="B25" s="132"/>
      <c r="C25" s="132"/>
      <c r="D25" s="20"/>
      <c r="E25" s="18">
        <f>E26+E27+E28+E29+E31+E32+E33+E30</f>
        <v>28079.1128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43" t="s">
        <v>700</v>
      </c>
      <c r="B26" s="144"/>
      <c r="C26" s="144"/>
      <c r="D26" s="20"/>
      <c r="E26" s="25">
        <f>51*1.5*90.3</f>
        <v>6907.95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701</v>
      </c>
      <c r="B27" s="144"/>
      <c r="C27" s="144"/>
      <c r="D27" s="20"/>
      <c r="E27" s="25">
        <f>51*1.5*35.02</f>
        <v>2679.03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693</v>
      </c>
      <c r="B28" s="144"/>
      <c r="C28" s="144"/>
      <c r="D28" s="20"/>
      <c r="E28" s="26">
        <f>3700*2.48</f>
        <v>9176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694</v>
      </c>
      <c r="B29" s="144"/>
      <c r="C29" s="144"/>
      <c r="D29" s="20"/>
      <c r="E29" s="25">
        <f>0.002*A12*12</f>
        <v>47.0088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702</v>
      </c>
      <c r="B30" s="144"/>
      <c r="C30" s="144"/>
      <c r="D30" s="20"/>
      <c r="E30" s="25">
        <f>1.44*534.7</f>
        <v>769.9680000000001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695</v>
      </c>
      <c r="B31" s="144"/>
      <c r="C31" s="144"/>
      <c r="D31" s="20"/>
      <c r="E31" s="25">
        <f>0.29*A12*12</f>
        <v>6816.276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3" t="s">
        <v>684</v>
      </c>
      <c r="B32" s="144"/>
      <c r="C32" s="144"/>
      <c r="D32" s="20"/>
      <c r="E32" s="26">
        <f>24*5.44+24*16.17*4</f>
        <v>1682.88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27" t="s">
        <v>140</v>
      </c>
      <c r="B33" s="28" t="s">
        <v>162</v>
      </c>
      <c r="C33" s="28"/>
      <c r="D33" s="20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5" t="s">
        <v>143</v>
      </c>
      <c r="B34" s="135"/>
      <c r="C34" s="135"/>
      <c r="D34" s="29"/>
      <c r="E34" s="8">
        <v>84720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2" t="s">
        <v>159</v>
      </c>
      <c r="B35" s="53"/>
      <c r="C35" s="53" t="s">
        <v>703</v>
      </c>
      <c r="D35" s="29"/>
      <c r="E35" s="18">
        <f>0.9*A12*12</f>
        <v>21153.960000000003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7" t="s">
        <v>677</v>
      </c>
      <c r="B36" s="138"/>
      <c r="C36" s="138"/>
      <c r="D36" s="29" t="s">
        <v>704</v>
      </c>
      <c r="E36" s="18">
        <f>1.24*A12*12</f>
        <v>29145.456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5" t="s">
        <v>146</v>
      </c>
      <c r="B37" s="36"/>
      <c r="C37" s="36" t="s">
        <v>696</v>
      </c>
      <c r="D37" s="37"/>
      <c r="E37" s="8">
        <f>0.003*A12*12</f>
        <v>70.5132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39" t="s">
        <v>147</v>
      </c>
      <c r="B38" s="140"/>
      <c r="C38" s="140"/>
      <c r="D38" s="29"/>
      <c r="E38" s="8">
        <f>E37+E36+E35+E34+E25+E19</f>
        <v>233266.14320000002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41" t="s">
        <v>323</v>
      </c>
      <c r="B39" s="142"/>
      <c r="C39" s="142"/>
      <c r="D39" s="29"/>
      <c r="E39" s="19">
        <f>E38*0.06</f>
        <v>13995.968592000001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39" t="s">
        <v>149</v>
      </c>
      <c r="B40" s="140"/>
      <c r="C40" s="140"/>
      <c r="D40" s="29"/>
      <c r="E40" s="8">
        <f>SUM(E38:E39)</f>
        <v>247262.111792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139</v>
      </c>
      <c r="B41" s="38"/>
      <c r="C41" s="39"/>
      <c r="D41" s="8" t="s">
        <v>127</v>
      </c>
      <c r="E41" s="117">
        <f>E40/A12/12</f>
        <v>10.519822322288592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2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6:E6"/>
    <mergeCell ref="A10:E10"/>
    <mergeCell ref="A14:A16"/>
    <mergeCell ref="C14:C16"/>
    <mergeCell ref="A18:C18"/>
    <mergeCell ref="A20:C20"/>
    <mergeCell ref="A21:C21"/>
    <mergeCell ref="A22:C22"/>
    <mergeCell ref="A23:C23"/>
    <mergeCell ref="A24:D24"/>
    <mergeCell ref="A25:C25"/>
    <mergeCell ref="A26:C26"/>
    <mergeCell ref="A31:C31"/>
    <mergeCell ref="A32:C32"/>
    <mergeCell ref="A27:C27"/>
    <mergeCell ref="A28:C28"/>
    <mergeCell ref="A29:C29"/>
    <mergeCell ref="A30:C30"/>
    <mergeCell ref="A40:C40"/>
    <mergeCell ref="A34:C34"/>
    <mergeCell ref="A36:C36"/>
    <mergeCell ref="A38:C38"/>
    <mergeCell ref="A39:C3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IV16384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142</v>
      </c>
      <c r="D1" s="54"/>
    </row>
    <row r="2" spans="3:4" ht="14.25" customHeight="1">
      <c r="C2" s="54" t="s">
        <v>73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722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3033.4</v>
      </c>
      <c r="B12" s="48">
        <v>335.6</v>
      </c>
      <c r="C12" s="48">
        <v>831.7</v>
      </c>
      <c r="D12" s="48">
        <v>375</v>
      </c>
      <c r="E12" s="6">
        <v>2278.2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151</v>
      </c>
      <c r="C14" s="157" t="s">
        <v>150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90"/>
      <c r="B15" t="s">
        <v>152</v>
      </c>
      <c r="C15" s="191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81"/>
      <c r="B16" s="49" t="s">
        <v>153</v>
      </c>
      <c r="C16" s="18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3" t="s">
        <v>124</v>
      </c>
      <c r="B18" s="134"/>
      <c r="C18" s="134"/>
      <c r="D18" s="46"/>
      <c r="E18" s="47" t="s">
        <v>128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125</v>
      </c>
      <c r="B19" s="41"/>
      <c r="C19" s="41"/>
      <c r="D19" s="42"/>
      <c r="E19" s="23">
        <f>E21+E22+E23+E24</f>
        <v>76562.81184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6" t="s">
        <v>137</v>
      </c>
      <c r="B20" s="147"/>
      <c r="C20" s="147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8" t="s">
        <v>107</v>
      </c>
      <c r="B21" s="149"/>
      <c r="C21" s="149"/>
      <c r="D21" s="43"/>
      <c r="E21" s="44">
        <f>0.48*5800*1.75*1.263*12</f>
        <v>73840.03199999999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155</v>
      </c>
      <c r="B22" s="144"/>
      <c r="C22" s="144"/>
      <c r="D22" s="20"/>
      <c r="E22" s="25">
        <f>0.028*A12*12</f>
        <v>1019.2224000000001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238</v>
      </c>
      <c r="B23" s="144"/>
      <c r="C23" s="144"/>
      <c r="D23" s="20"/>
      <c r="E23" s="25">
        <f>0.014*A12*12</f>
        <v>509.61120000000005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43" t="s">
        <v>239</v>
      </c>
      <c r="B24" s="144"/>
      <c r="C24" s="144"/>
      <c r="D24" s="136"/>
      <c r="E24" s="26">
        <f>0.0328*A12*12</f>
        <v>1193.9462400000002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1" t="s">
        <v>126</v>
      </c>
      <c r="B25" s="132"/>
      <c r="C25" s="132"/>
      <c r="D25" s="20"/>
      <c r="E25" s="18">
        <f>E26+E27+E28+E29+E30+E31+E32</f>
        <v>66444.0336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43" t="s">
        <v>240</v>
      </c>
      <c r="B26" s="144"/>
      <c r="C26" s="144"/>
      <c r="D26" s="20"/>
      <c r="E26" s="25">
        <f>138*1.5*90.3</f>
        <v>18692.1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241</v>
      </c>
      <c r="B27" s="144"/>
      <c r="C27" s="144"/>
      <c r="D27" s="20"/>
      <c r="E27" s="25">
        <f>207*35.02</f>
        <v>7249.14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242</v>
      </c>
      <c r="B28" s="144"/>
      <c r="C28" s="144"/>
      <c r="D28" s="20"/>
      <c r="E28" s="26">
        <f>7600*2.73</f>
        <v>20748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156</v>
      </c>
      <c r="B29" s="144"/>
      <c r="C29" s="144"/>
      <c r="D29" s="20"/>
      <c r="E29" s="25">
        <f>0.002*A12*12</f>
        <v>72.80160000000001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157</v>
      </c>
      <c r="B30" s="144"/>
      <c r="C30" s="144"/>
      <c r="D30" s="20"/>
      <c r="E30" s="25">
        <f>0.29*A12*12</f>
        <v>10556.232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265</v>
      </c>
      <c r="B31" s="144"/>
      <c r="C31" s="144"/>
      <c r="D31" s="20"/>
      <c r="E31" s="26">
        <f>48*5.44+48*16.17*4</f>
        <v>3365.76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140</v>
      </c>
      <c r="B32" s="28" t="s">
        <v>243</v>
      </c>
      <c r="C32" s="28"/>
      <c r="D32" s="20"/>
      <c r="E32" s="5">
        <f>48*120</f>
        <v>5760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5" t="s">
        <v>143</v>
      </c>
      <c r="B33" s="135"/>
      <c r="C33" s="135"/>
      <c r="D33" s="29"/>
      <c r="E33" s="8">
        <v>140250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159</v>
      </c>
      <c r="B34" s="53"/>
      <c r="C34" s="53" t="s">
        <v>244</v>
      </c>
      <c r="D34" s="29"/>
      <c r="E34" s="18">
        <f>0.9*A12*12</f>
        <v>32760.72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37" t="s">
        <v>164</v>
      </c>
      <c r="B35" s="138"/>
      <c r="C35" s="138"/>
      <c r="D35" s="29" t="s">
        <v>324</v>
      </c>
      <c r="E35" s="18">
        <f>1.24*A12*12</f>
        <v>45136.992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146</v>
      </c>
      <c r="B36" s="36"/>
      <c r="C36" s="36" t="s">
        <v>158</v>
      </c>
      <c r="D36" s="37"/>
      <c r="E36" s="8">
        <f>0.003*A12*12</f>
        <v>109.20240000000001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39" t="s">
        <v>147</v>
      </c>
      <c r="B37" s="140"/>
      <c r="C37" s="140"/>
      <c r="D37" s="29"/>
      <c r="E37" s="8">
        <f>E36+E35+E34+E33+E25+E19</f>
        <v>361263.75983999996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1" t="s">
        <v>323</v>
      </c>
      <c r="B38" s="142"/>
      <c r="C38" s="142"/>
      <c r="D38" s="29"/>
      <c r="E38" s="19">
        <f>E37*0.06</f>
        <v>21675.825590399996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39" t="s">
        <v>149</v>
      </c>
      <c r="B39" s="140"/>
      <c r="C39" s="140"/>
      <c r="D39" s="29"/>
      <c r="E39" s="8">
        <f>SUM(E37:E38)</f>
        <v>382939.5854304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139</v>
      </c>
      <c r="B40" s="38"/>
      <c r="C40" s="39"/>
      <c r="D40" s="8" t="s">
        <v>127</v>
      </c>
      <c r="E40" s="117">
        <f>E39/A12/12</f>
        <v>10.520087070350101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62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6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33:C33"/>
    <mergeCell ref="A39:C39"/>
    <mergeCell ref="A35:C35"/>
    <mergeCell ref="A37:C37"/>
    <mergeCell ref="A38:C38"/>
    <mergeCell ref="A28:C28"/>
    <mergeCell ref="A29:C29"/>
    <mergeCell ref="A30:C30"/>
    <mergeCell ref="A31:C31"/>
    <mergeCell ref="A24:D24"/>
    <mergeCell ref="A25:C25"/>
    <mergeCell ref="A26:C26"/>
    <mergeCell ref="A27:C27"/>
    <mergeCell ref="A6:E6"/>
    <mergeCell ref="A10:E10"/>
    <mergeCell ref="A14:A16"/>
    <mergeCell ref="C14:C16"/>
    <mergeCell ref="A23:C23"/>
    <mergeCell ref="A18:C18"/>
    <mergeCell ref="A20:C20"/>
    <mergeCell ref="A21:C21"/>
    <mergeCell ref="A22:C22"/>
  </mergeCells>
  <printOptions/>
  <pageMargins left="0.75" right="0.29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4" sqref="A4:E7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4" ht="15">
      <c r="C3" s="54" t="s">
        <v>73</v>
      </c>
      <c r="D3" s="54"/>
    </row>
    <row r="4" spans="3:4" ht="15">
      <c r="C4" s="54" t="s">
        <v>74</v>
      </c>
      <c r="D4" s="54"/>
    </row>
    <row r="6" spans="6:15" ht="22.5" customHeigh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" customHeight="1">
      <c r="A7" s="179" t="s">
        <v>154</v>
      </c>
      <c r="B7" s="180"/>
      <c r="C7" s="180"/>
      <c r="D7" s="180"/>
      <c r="E7" s="180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1666.9</v>
      </c>
      <c r="B12" s="48">
        <v>170.4</v>
      </c>
      <c r="C12" s="48">
        <v>1250</v>
      </c>
      <c r="D12" s="48">
        <v>470</v>
      </c>
      <c r="E12" s="6">
        <v>1025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705</v>
      </c>
      <c r="C14" s="157" t="s">
        <v>706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90"/>
      <c r="B15" t="s">
        <v>707</v>
      </c>
      <c r="C15" s="191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81"/>
      <c r="B16" s="49" t="s">
        <v>691</v>
      </c>
      <c r="C16" s="18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3" t="s">
        <v>124</v>
      </c>
      <c r="B18" s="134"/>
      <c r="C18" s="134"/>
      <c r="D18" s="46"/>
      <c r="E18" s="47" t="s">
        <v>128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125</v>
      </c>
      <c r="B19" s="41"/>
      <c r="C19" s="41"/>
      <c r="D19" s="42"/>
      <c r="E19" s="23">
        <f>E21+E22+E23+E24</f>
        <v>98429.51159999998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6" t="s">
        <v>137</v>
      </c>
      <c r="B20" s="147"/>
      <c r="C20" s="147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8" t="s">
        <v>712</v>
      </c>
      <c r="B21" s="149"/>
      <c r="C21" s="149"/>
      <c r="D21" s="43"/>
      <c r="E21" s="44">
        <f>0.618*5800*1.75*1.263*12</f>
        <v>95069.04119999999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713</v>
      </c>
      <c r="B22" s="144"/>
      <c r="C22" s="144"/>
      <c r="D22" s="20"/>
      <c r="E22" s="25">
        <f>0.04*A12*12</f>
        <v>800.1120000000001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708</v>
      </c>
      <c r="B23" s="144"/>
      <c r="C23" s="144"/>
      <c r="D23" s="20"/>
      <c r="E23" s="25">
        <f>0.028*A12*12</f>
        <v>560.0784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43" t="s">
        <v>714</v>
      </c>
      <c r="B24" s="144"/>
      <c r="C24" s="144"/>
      <c r="D24" s="136"/>
      <c r="E24" s="26">
        <f>0.1*A12*12</f>
        <v>2000.2800000000002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1" t="s">
        <v>126</v>
      </c>
      <c r="B25" s="132"/>
      <c r="C25" s="132"/>
      <c r="D25" s="20"/>
      <c r="E25" s="18">
        <f>E26+E27+E28+E29+E31+E32+E33+E30</f>
        <v>27897.6136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43" t="s">
        <v>715</v>
      </c>
      <c r="B26" s="144"/>
      <c r="C26" s="144"/>
      <c r="D26" s="20"/>
      <c r="E26" s="25">
        <f>65*1.5*90.3</f>
        <v>8804.25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716</v>
      </c>
      <c r="B27" s="144"/>
      <c r="C27" s="144"/>
      <c r="D27" s="20"/>
      <c r="E27" s="25">
        <f>65*1.5*35.02</f>
        <v>3414.4500000000003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717</v>
      </c>
      <c r="B28" s="144"/>
      <c r="C28" s="144"/>
      <c r="D28" s="20"/>
      <c r="E28" s="26">
        <f>2500*2.73</f>
        <v>6825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709</v>
      </c>
      <c r="B29" s="144"/>
      <c r="C29" s="144"/>
      <c r="D29" s="20"/>
      <c r="E29" s="25">
        <f>0.002*A12*12</f>
        <v>40.0056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718</v>
      </c>
      <c r="B30" s="144"/>
      <c r="C30" s="144"/>
      <c r="D30" s="20"/>
      <c r="E30" s="25">
        <f>1.44*582.9</f>
        <v>839.376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43" t="s">
        <v>710</v>
      </c>
      <c r="B31" s="144"/>
      <c r="C31" s="144"/>
      <c r="D31" s="20"/>
      <c r="E31" s="25">
        <f>0.29*A12*12</f>
        <v>5800.812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3" t="s">
        <v>719</v>
      </c>
      <c r="B32" s="144"/>
      <c r="C32" s="144"/>
      <c r="D32" s="20"/>
      <c r="E32" s="26">
        <f>31*5.44+31*16.17*4</f>
        <v>2173.7200000000003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27" t="s">
        <v>140</v>
      </c>
      <c r="B33" s="28" t="s">
        <v>162</v>
      </c>
      <c r="C33" s="28"/>
      <c r="D33" s="20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5" t="s">
        <v>143</v>
      </c>
      <c r="B34" s="135"/>
      <c r="C34" s="135"/>
      <c r="D34" s="29"/>
      <c r="E34" s="8">
        <v>29324.5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2" t="s">
        <v>159</v>
      </c>
      <c r="B35" s="53"/>
      <c r="C35" s="53" t="s">
        <v>720</v>
      </c>
      <c r="D35" s="29"/>
      <c r="E35" s="18">
        <f>0.9*A12*12</f>
        <v>18002.52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7" t="s">
        <v>677</v>
      </c>
      <c r="B36" s="138"/>
      <c r="C36" s="138"/>
      <c r="D36" s="29" t="s">
        <v>721</v>
      </c>
      <c r="E36" s="18">
        <f>1.24*A12*12</f>
        <v>24803.472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5" t="s">
        <v>146</v>
      </c>
      <c r="B37" s="36"/>
      <c r="C37" s="36" t="s">
        <v>711</v>
      </c>
      <c r="D37" s="37"/>
      <c r="E37" s="8">
        <f>0.003*A12*12</f>
        <v>60.0084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39" t="s">
        <v>147</v>
      </c>
      <c r="B38" s="140"/>
      <c r="C38" s="140"/>
      <c r="D38" s="29"/>
      <c r="E38" s="8">
        <f>E37+E36+E35+E34+E25+E19</f>
        <v>198517.62559999997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41" t="s">
        <v>323</v>
      </c>
      <c r="B39" s="142"/>
      <c r="C39" s="142"/>
      <c r="D39" s="29"/>
      <c r="E39" s="19">
        <f>E38*0.06</f>
        <v>11911.057535999998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39" t="s">
        <v>149</v>
      </c>
      <c r="B40" s="140"/>
      <c r="C40" s="140"/>
      <c r="D40" s="29"/>
      <c r="E40" s="8">
        <f>SUM(E38:E39)</f>
        <v>210428.68313599998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139</v>
      </c>
      <c r="B41" s="38"/>
      <c r="C41" s="39"/>
      <c r="D41" s="8" t="s">
        <v>127</v>
      </c>
      <c r="E41" s="117">
        <f>E40/A12/12</f>
        <v>10.519961362209289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2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10:E10"/>
    <mergeCell ref="A14:A16"/>
    <mergeCell ref="C14:C16"/>
    <mergeCell ref="A18:C18"/>
    <mergeCell ref="A20:C20"/>
    <mergeCell ref="A21:C21"/>
    <mergeCell ref="A22:C22"/>
    <mergeCell ref="A29:C29"/>
    <mergeCell ref="A30:C30"/>
    <mergeCell ref="A23:C23"/>
    <mergeCell ref="A24:D24"/>
    <mergeCell ref="A25:C25"/>
    <mergeCell ref="A26:C26"/>
    <mergeCell ref="A40:C40"/>
    <mergeCell ref="A7:E7"/>
    <mergeCell ref="A34:C34"/>
    <mergeCell ref="A36:C36"/>
    <mergeCell ref="A38:C38"/>
    <mergeCell ref="A39:C39"/>
    <mergeCell ref="A31:C31"/>
    <mergeCell ref="A32:C32"/>
    <mergeCell ref="A27:C27"/>
    <mergeCell ref="A28:C2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4">
      <selection activeCell="D44" sqref="D44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74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723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2476.1</v>
      </c>
      <c r="B13" s="48">
        <v>202</v>
      </c>
      <c r="C13" s="48">
        <v>729</v>
      </c>
      <c r="D13" s="48"/>
      <c r="E13" s="6">
        <v>2120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724</v>
      </c>
      <c r="C15" s="157" t="s">
        <v>725</v>
      </c>
      <c r="D15" s="21"/>
      <c r="E15" s="1"/>
    </row>
    <row r="16" spans="1:5" ht="12.75">
      <c r="A16" s="181"/>
      <c r="B16" s="49" t="s">
        <v>726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6" ht="12.75">
      <c r="A19" s="133" t="s">
        <v>124</v>
      </c>
      <c r="B19" s="134"/>
      <c r="C19" s="134"/>
      <c r="D19" s="46"/>
      <c r="E19" s="47" t="s">
        <v>128</v>
      </c>
      <c r="F19" s="115" t="s">
        <v>368</v>
      </c>
    </row>
    <row r="20" spans="1:6" ht="12.75">
      <c r="A20" s="40" t="s">
        <v>125</v>
      </c>
      <c r="B20" s="41"/>
      <c r="C20" s="41"/>
      <c r="D20" s="42"/>
      <c r="E20" s="23">
        <f>E22+E23+E24+E25</f>
        <v>52218.671399999985</v>
      </c>
      <c r="F20" s="116">
        <f>F22+F23+F24+F25</f>
        <v>1.7574233471992244</v>
      </c>
    </row>
    <row r="21" spans="1:6" ht="12.75">
      <c r="A21" s="146" t="s">
        <v>137</v>
      </c>
      <c r="B21" s="147"/>
      <c r="C21" s="147"/>
      <c r="D21" s="45"/>
      <c r="E21" s="20"/>
      <c r="F21" s="114"/>
    </row>
    <row r="22" spans="1:6" ht="12.75">
      <c r="A22" s="148" t="s">
        <v>731</v>
      </c>
      <c r="B22" s="149"/>
      <c r="C22" s="149"/>
      <c r="D22" s="43"/>
      <c r="E22" s="44">
        <f>0.307*5800*1.75*1.263*12</f>
        <v>47226.85379999999</v>
      </c>
      <c r="F22" s="114">
        <f>E22/A13/12</f>
        <v>1.5894233471992243</v>
      </c>
    </row>
    <row r="23" spans="1:6" ht="12.75">
      <c r="A23" s="143" t="s">
        <v>732</v>
      </c>
      <c r="B23" s="144"/>
      <c r="C23" s="144"/>
      <c r="D23" s="20"/>
      <c r="E23" s="25">
        <f>0.04*A13*12</f>
        <v>1188.528</v>
      </c>
      <c r="F23" s="114">
        <f>E23/A13/12</f>
        <v>0.04</v>
      </c>
    </row>
    <row r="24" spans="1:6" ht="12.75">
      <c r="A24" s="143" t="s">
        <v>727</v>
      </c>
      <c r="B24" s="144"/>
      <c r="C24" s="144"/>
      <c r="D24" s="20"/>
      <c r="E24" s="25">
        <f>0.028*A13*12</f>
        <v>831.9695999999999</v>
      </c>
      <c r="F24" s="114">
        <f>E24/A13/12</f>
        <v>0.027999999999999997</v>
      </c>
    </row>
    <row r="25" spans="1:6" ht="12.75">
      <c r="A25" s="143" t="s">
        <v>733</v>
      </c>
      <c r="B25" s="144"/>
      <c r="C25" s="144"/>
      <c r="D25" s="136"/>
      <c r="E25" s="26">
        <f>0.1*A13*12</f>
        <v>2971.32</v>
      </c>
      <c r="F25" s="114">
        <f>E25/A13/12</f>
        <v>0.10000000000000002</v>
      </c>
    </row>
    <row r="26" spans="1:6" ht="12.75">
      <c r="A26" s="131" t="s">
        <v>126</v>
      </c>
      <c r="B26" s="132"/>
      <c r="C26" s="132"/>
      <c r="D26" s="20"/>
      <c r="E26" s="18">
        <f>E27+E28+E29+E30+E32+E34+E33+E31</f>
        <v>32144.9184</v>
      </c>
      <c r="F26" s="116">
        <f>F27+F28+F29+F30+F31+F32+F33</f>
        <v>1.08183966721861</v>
      </c>
    </row>
    <row r="27" spans="1:6" ht="12.75">
      <c r="A27" s="143" t="s">
        <v>737</v>
      </c>
      <c r="B27" s="144"/>
      <c r="C27" s="144"/>
      <c r="D27" s="20"/>
      <c r="E27" s="25">
        <f>68*1.5*90.3</f>
        <v>9210.6</v>
      </c>
      <c r="F27" s="114">
        <f>E27/A13/12</f>
        <v>0.3099834417026776</v>
      </c>
    </row>
    <row r="28" spans="1:6" ht="12.75">
      <c r="A28" s="143" t="s">
        <v>738</v>
      </c>
      <c r="B28" s="144"/>
      <c r="C28" s="144"/>
      <c r="D28" s="20"/>
      <c r="E28" s="25">
        <f>1.5*68*35.02</f>
        <v>3572.0400000000004</v>
      </c>
      <c r="F28" s="114">
        <f>E28/A13/12</f>
        <v>0.12021727716974277</v>
      </c>
    </row>
    <row r="29" spans="1:6" ht="12.75">
      <c r="A29" s="143" t="s">
        <v>739</v>
      </c>
      <c r="B29" s="144"/>
      <c r="C29" s="144"/>
      <c r="D29" s="20"/>
      <c r="E29" s="26">
        <f>3500*2.73</f>
        <v>9555</v>
      </c>
      <c r="F29" s="114">
        <f>E29/A13/12</f>
        <v>0.32157424982835914</v>
      </c>
    </row>
    <row r="30" spans="1:6" ht="12.75">
      <c r="A30" s="143" t="s">
        <v>728</v>
      </c>
      <c r="B30" s="144"/>
      <c r="C30" s="144"/>
      <c r="D30" s="20"/>
      <c r="E30" s="25">
        <f>0.002*A13*12</f>
        <v>59.426399999999994</v>
      </c>
      <c r="F30" s="114">
        <f>E30/A13/12</f>
        <v>0.0019999999999999996</v>
      </c>
    </row>
    <row r="31" spans="1:6" ht="12.75">
      <c r="A31" s="143" t="s">
        <v>362</v>
      </c>
      <c r="B31" s="144"/>
      <c r="C31" s="144"/>
      <c r="D31" s="20"/>
      <c r="E31" s="25">
        <f>1.44*672.1</f>
        <v>967.824</v>
      </c>
      <c r="F31" s="114">
        <f>E31/A13/12</f>
        <v>0.03257219013771657</v>
      </c>
    </row>
    <row r="32" spans="1:6" ht="12.75">
      <c r="A32" s="143" t="s">
        <v>729</v>
      </c>
      <c r="B32" s="144"/>
      <c r="C32" s="144"/>
      <c r="D32" s="20"/>
      <c r="E32" s="25">
        <f>0.29*A13*12</f>
        <v>8616.828</v>
      </c>
      <c r="F32" s="114">
        <f>E32/A13/12</f>
        <v>0.29</v>
      </c>
    </row>
    <row r="33" spans="1:6" ht="12.75" customHeight="1">
      <c r="A33" s="143" t="s">
        <v>363</v>
      </c>
      <c r="B33" s="144"/>
      <c r="C33" s="144"/>
      <c r="D33" s="20"/>
      <c r="E33" s="25">
        <f>30*5.44</f>
        <v>163.20000000000002</v>
      </c>
      <c r="F33" s="114">
        <f>E33/A13/12</f>
        <v>0.005492508380113889</v>
      </c>
    </row>
    <row r="34" spans="1:6" ht="12.75">
      <c r="A34" s="27" t="s">
        <v>140</v>
      </c>
      <c r="B34" s="28" t="s">
        <v>162</v>
      </c>
      <c r="C34" s="28"/>
      <c r="D34" s="20"/>
      <c r="E34" s="5"/>
      <c r="F34" s="114"/>
    </row>
    <row r="35" spans="1:6" ht="12.75">
      <c r="A35" s="145" t="s">
        <v>143</v>
      </c>
      <c r="B35" s="135"/>
      <c r="C35" s="135"/>
      <c r="D35" s="29"/>
      <c r="E35" s="8">
        <v>146841</v>
      </c>
      <c r="F35" s="116">
        <f>E35/A13/12</f>
        <v>4.941944994144017</v>
      </c>
    </row>
    <row r="36" spans="1:6" ht="12.75">
      <c r="A36" s="52" t="s">
        <v>159</v>
      </c>
      <c r="B36" s="53"/>
      <c r="C36" s="53" t="s">
        <v>740</v>
      </c>
      <c r="D36" s="29"/>
      <c r="E36" s="18">
        <f>0.9*A13*12</f>
        <v>26741.879999999997</v>
      </c>
      <c r="F36" s="116">
        <f>E36/A13/12</f>
        <v>0.8999999999999999</v>
      </c>
    </row>
    <row r="37" spans="1:6" ht="12.75">
      <c r="A37" s="137" t="s">
        <v>741</v>
      </c>
      <c r="B37" s="138"/>
      <c r="C37" s="138"/>
      <c r="D37" s="29"/>
      <c r="E37" s="18">
        <f>1.24*A13*12</f>
        <v>36844.368</v>
      </c>
      <c r="F37" s="116">
        <f>E37/A13/12</f>
        <v>1.24</v>
      </c>
    </row>
    <row r="38" spans="1:6" ht="12.75">
      <c r="A38" s="35" t="s">
        <v>93</v>
      </c>
      <c r="B38" s="36"/>
      <c r="C38" s="36" t="s">
        <v>730</v>
      </c>
      <c r="D38" s="37"/>
      <c r="E38" s="8">
        <f>0.003*A13*12</f>
        <v>89.1396</v>
      </c>
      <c r="F38" s="116">
        <f>E38/A13/12</f>
        <v>0.0030000000000000005</v>
      </c>
    </row>
    <row r="39" spans="1:6" ht="12.75">
      <c r="A39" s="139" t="s">
        <v>279</v>
      </c>
      <c r="B39" s="140"/>
      <c r="C39" s="140"/>
      <c r="D39" s="29"/>
      <c r="E39" s="8">
        <f>E38+E37+E36+E35+E26+E20</f>
        <v>294879.9774</v>
      </c>
      <c r="F39" s="116">
        <f>E39/A13/12</f>
        <v>9.92420800856185</v>
      </c>
    </row>
    <row r="40" spans="1:6" ht="12.75" customHeight="1">
      <c r="A40" s="141" t="s">
        <v>344</v>
      </c>
      <c r="B40" s="142"/>
      <c r="C40" s="142"/>
      <c r="D40" s="29"/>
      <c r="E40" s="19">
        <f>E39*0.06</f>
        <v>17692.798644</v>
      </c>
      <c r="F40" s="116">
        <f>E40/A13/12</f>
        <v>0.595452480513711</v>
      </c>
    </row>
    <row r="41" spans="1:6" ht="12.75">
      <c r="A41" s="139" t="s">
        <v>149</v>
      </c>
      <c r="B41" s="140"/>
      <c r="C41" s="140"/>
      <c r="D41" s="29"/>
      <c r="E41" s="8">
        <f>SUM(E39:E40)</f>
        <v>312572.776044</v>
      </c>
      <c r="F41" s="116"/>
    </row>
    <row r="42" spans="1:6" ht="12.75">
      <c r="A42" s="7" t="s">
        <v>139</v>
      </c>
      <c r="B42" s="38"/>
      <c r="C42" s="39"/>
      <c r="D42" s="8" t="s">
        <v>127</v>
      </c>
      <c r="E42" s="117">
        <f>E41/A13/12</f>
        <v>10.519660489075562</v>
      </c>
      <c r="F42" s="116">
        <f>F20+F26+F35+F36+F37+F40+F38</f>
        <v>10.519660489075562</v>
      </c>
    </row>
    <row r="43" spans="1:5" ht="12.75">
      <c r="A43" s="10"/>
      <c r="B43" s="11"/>
      <c r="C43" s="12"/>
      <c r="D43" s="12"/>
      <c r="E43" s="1"/>
    </row>
  </sheetData>
  <mergeCells count="23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3:C33"/>
    <mergeCell ref="A28:C28"/>
    <mergeCell ref="A29:C29"/>
    <mergeCell ref="A30:C30"/>
    <mergeCell ref="A31:C31"/>
    <mergeCell ref="A41:C41"/>
    <mergeCell ref="A35:C35"/>
    <mergeCell ref="A37:C37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7">
      <selection activeCell="E37" sqref="E37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  <col min="6" max="6" width="10.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351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2480.2</v>
      </c>
      <c r="B13" s="48">
        <v>212.2</v>
      </c>
      <c r="C13" s="48">
        <v>923</v>
      </c>
      <c r="D13" s="48"/>
      <c r="E13" s="6">
        <v>1929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352</v>
      </c>
      <c r="C15" s="157" t="s">
        <v>353</v>
      </c>
      <c r="D15" s="21"/>
      <c r="E15" s="1"/>
    </row>
    <row r="16" spans="1:5" ht="12.75">
      <c r="A16" s="181"/>
      <c r="B16" s="49" t="s">
        <v>354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6" ht="22.5" customHeight="1">
      <c r="A19" s="133" t="s">
        <v>124</v>
      </c>
      <c r="B19" s="134"/>
      <c r="C19" s="134"/>
      <c r="D19" s="46"/>
      <c r="E19" s="47" t="s">
        <v>128</v>
      </c>
      <c r="F19" s="115" t="s">
        <v>368</v>
      </c>
    </row>
    <row r="20" spans="1:6" ht="12.75">
      <c r="A20" s="40" t="s">
        <v>125</v>
      </c>
      <c r="B20" s="41"/>
      <c r="C20" s="41"/>
      <c r="D20" s="42"/>
      <c r="E20" s="23">
        <f>E22+E24+E25+E26</f>
        <v>52226.93699999998</v>
      </c>
      <c r="F20" s="116">
        <f>F22+F24+F25+F26</f>
        <v>1.7547958833965003</v>
      </c>
    </row>
    <row r="21" spans="1:6" ht="12.75">
      <c r="A21" s="146" t="s">
        <v>137</v>
      </c>
      <c r="B21" s="147"/>
      <c r="C21" s="147"/>
      <c r="D21" s="45"/>
      <c r="E21" s="20"/>
      <c r="F21" s="114"/>
    </row>
    <row r="22" spans="1:6" ht="12.75">
      <c r="A22" s="148" t="s">
        <v>358</v>
      </c>
      <c r="B22" s="149"/>
      <c r="C22" s="149"/>
      <c r="D22" s="43"/>
      <c r="E22" s="44">
        <f>0.307*5800*1.75*1.263*12</f>
        <v>47226.85379999999</v>
      </c>
      <c r="F22" s="114">
        <f>E22/A13/12</f>
        <v>1.5867958833965001</v>
      </c>
    </row>
    <row r="23" spans="1:6" ht="12.75">
      <c r="A23" s="110" t="s">
        <v>364</v>
      </c>
      <c r="B23" s="111"/>
      <c r="C23" s="111"/>
      <c r="D23" s="43"/>
      <c r="E23" s="44" t="s">
        <v>365</v>
      </c>
      <c r="F23" s="114"/>
    </row>
    <row r="24" spans="1:6" ht="12.75">
      <c r="A24" s="143" t="s">
        <v>734</v>
      </c>
      <c r="B24" s="144"/>
      <c r="C24" s="144"/>
      <c r="D24" s="20"/>
      <c r="E24" s="25">
        <f>0.04*A13*12</f>
        <v>1190.496</v>
      </c>
      <c r="F24" s="114">
        <f>E24/A13/12</f>
        <v>0.04000000000000001</v>
      </c>
    </row>
    <row r="25" spans="1:6" ht="12.75">
      <c r="A25" s="143" t="s">
        <v>735</v>
      </c>
      <c r="B25" s="144"/>
      <c r="C25" s="144"/>
      <c r="D25" s="20"/>
      <c r="E25" s="25">
        <f>0.028*A13*12</f>
        <v>833.3471999999999</v>
      </c>
      <c r="F25" s="114">
        <f>E25/A13/12</f>
        <v>0.028</v>
      </c>
    </row>
    <row r="26" spans="1:6" ht="12.75">
      <c r="A26" s="143" t="s">
        <v>736</v>
      </c>
      <c r="B26" s="144"/>
      <c r="C26" s="144"/>
      <c r="D26" s="136"/>
      <c r="E26" s="26">
        <f>0.1*A13*12</f>
        <v>2976.24</v>
      </c>
      <c r="F26" s="114">
        <f>E26/A13/12</f>
        <v>0.09999999999999999</v>
      </c>
    </row>
    <row r="27" spans="1:6" ht="12.75">
      <c r="A27" s="131" t="s">
        <v>126</v>
      </c>
      <c r="B27" s="132"/>
      <c r="C27" s="132"/>
      <c r="D27" s="20"/>
      <c r="E27" s="130">
        <f>E28+E29+E30+E31+E33+E35+E34+E32</f>
        <v>37418.044799999996</v>
      </c>
      <c r="F27" s="116">
        <f>F28+F29+F30+F31+F32+F33+F34</f>
        <v>1.257225385049593</v>
      </c>
    </row>
    <row r="28" spans="1:6" ht="12.75">
      <c r="A28" s="143" t="s">
        <v>360</v>
      </c>
      <c r="B28" s="144"/>
      <c r="C28" s="144"/>
      <c r="D28" s="20"/>
      <c r="E28" s="25">
        <f>80*1.5*90.3</f>
        <v>10836</v>
      </c>
      <c r="F28" s="114">
        <f>E28/A13/12</f>
        <v>0.36408354164986695</v>
      </c>
    </row>
    <row r="29" spans="1:6" ht="12.75">
      <c r="A29" s="143" t="s">
        <v>361</v>
      </c>
      <c r="B29" s="144"/>
      <c r="C29" s="144"/>
      <c r="D29" s="20"/>
      <c r="E29" s="25">
        <f>80*1.5*35.02</f>
        <v>4202.400000000001</v>
      </c>
      <c r="F29" s="114">
        <f>E29/A13/12</f>
        <v>0.14119829046044677</v>
      </c>
    </row>
    <row r="30" spans="1:6" ht="12.75">
      <c r="A30" s="143" t="s">
        <v>249</v>
      </c>
      <c r="B30" s="144"/>
      <c r="C30" s="144"/>
      <c r="D30" s="20"/>
      <c r="E30" s="26">
        <f>4600*2.73</f>
        <v>12558</v>
      </c>
      <c r="F30" s="114">
        <f>E30/A13/12</f>
        <v>0.42194177888879936</v>
      </c>
    </row>
    <row r="31" spans="1:6" ht="12.75">
      <c r="A31" s="143" t="s">
        <v>355</v>
      </c>
      <c r="B31" s="144"/>
      <c r="C31" s="144"/>
      <c r="D31" s="20"/>
      <c r="E31" s="25">
        <f>0.002*A13*12</f>
        <v>59.5248</v>
      </c>
      <c r="F31" s="114">
        <f>E31/A13/12</f>
        <v>0.002</v>
      </c>
    </row>
    <row r="32" spans="1:6" ht="12.75">
      <c r="A32" s="143" t="s">
        <v>362</v>
      </c>
      <c r="B32" s="144"/>
      <c r="C32" s="144"/>
      <c r="D32" s="20"/>
      <c r="E32" s="25">
        <f>1.44*672.1</f>
        <v>967.824</v>
      </c>
      <c r="F32" s="114">
        <f>E32/A13/12</f>
        <v>0.0325183452947343</v>
      </c>
    </row>
    <row r="33" spans="1:6" ht="12.75">
      <c r="A33" s="143" t="s">
        <v>356</v>
      </c>
      <c r="B33" s="144"/>
      <c r="C33" s="144"/>
      <c r="D33" s="20"/>
      <c r="E33" s="25">
        <f>0.29*A13*12</f>
        <v>8631.096</v>
      </c>
      <c r="F33" s="114">
        <f>E33/A13/12</f>
        <v>0.29</v>
      </c>
    </row>
    <row r="34" spans="1:6" ht="12.75" customHeight="1">
      <c r="A34" s="143" t="s">
        <v>363</v>
      </c>
      <c r="B34" s="144"/>
      <c r="C34" s="144"/>
      <c r="D34" s="20"/>
      <c r="E34" s="25">
        <f>30*5.44</f>
        <v>163.20000000000002</v>
      </c>
      <c r="F34" s="114">
        <f>E34/A13/12</f>
        <v>0.0054834287557455055</v>
      </c>
    </row>
    <row r="35" spans="1:6" ht="12.75">
      <c r="A35" s="27" t="s">
        <v>140</v>
      </c>
      <c r="B35" s="28" t="s">
        <v>162</v>
      </c>
      <c r="C35" s="28"/>
      <c r="D35" s="20"/>
      <c r="E35" s="5"/>
      <c r="F35" s="114"/>
    </row>
    <row r="36" spans="1:6" ht="12.75">
      <c r="A36" s="145" t="s">
        <v>143</v>
      </c>
      <c r="B36" s="135"/>
      <c r="C36" s="135"/>
      <c r="D36" s="29"/>
      <c r="E36" s="8">
        <v>141941</v>
      </c>
      <c r="F36" s="116">
        <f>E36/A13/12</f>
        <v>4.769138241539661</v>
      </c>
    </row>
    <row r="37" spans="1:6" ht="12.75">
      <c r="A37" s="52" t="s">
        <v>159</v>
      </c>
      <c r="B37" s="53"/>
      <c r="C37" s="53" t="s">
        <v>366</v>
      </c>
      <c r="D37" s="29"/>
      <c r="E37" s="18">
        <f>0.9*A13*12</f>
        <v>26786.159999999996</v>
      </c>
      <c r="F37" s="116">
        <f>E37/A13/12</f>
        <v>0.8999999999999999</v>
      </c>
    </row>
    <row r="38" spans="1:6" ht="12.75">
      <c r="A38" s="137" t="s">
        <v>367</v>
      </c>
      <c r="B38" s="138"/>
      <c r="C38" s="138"/>
      <c r="D38" s="29"/>
      <c r="E38" s="18">
        <f>1.24*A13*12</f>
        <v>36905.376</v>
      </c>
      <c r="F38" s="116">
        <f>E38/A13/12</f>
        <v>1.24</v>
      </c>
    </row>
    <row r="39" spans="1:6" ht="12.75">
      <c r="A39" s="35" t="s">
        <v>93</v>
      </c>
      <c r="B39" s="36"/>
      <c r="C39" s="36" t="s">
        <v>357</v>
      </c>
      <c r="D39" s="37"/>
      <c r="E39" s="8">
        <f>0.003*A13*12</f>
        <v>89.2872</v>
      </c>
      <c r="F39" s="116">
        <f>E39/A13/12</f>
        <v>0.0030000000000000005</v>
      </c>
    </row>
    <row r="40" spans="1:6" ht="12.75">
      <c r="A40" s="139" t="s">
        <v>279</v>
      </c>
      <c r="B40" s="140"/>
      <c r="C40" s="140"/>
      <c r="D40" s="29"/>
      <c r="E40" s="8">
        <f>E39+E38+E37+E36+E27+E20</f>
        <v>295366.805</v>
      </c>
      <c r="F40" s="116">
        <f>E40/A13/12</f>
        <v>9.924159509985754</v>
      </c>
    </row>
    <row r="41" spans="1:6" ht="12.75" customHeight="1">
      <c r="A41" s="141" t="s">
        <v>344</v>
      </c>
      <c r="B41" s="142"/>
      <c r="C41" s="142"/>
      <c r="D41" s="29"/>
      <c r="E41" s="19">
        <f>E40*0.06</f>
        <v>17722.008299999998</v>
      </c>
      <c r="F41" s="116">
        <f>E41/A13/12</f>
        <v>0.5954495705991452</v>
      </c>
    </row>
    <row r="42" spans="1:6" ht="12.75">
      <c r="A42" s="139" t="s">
        <v>149</v>
      </c>
      <c r="B42" s="140"/>
      <c r="C42" s="140"/>
      <c r="D42" s="29"/>
      <c r="E42" s="8">
        <f>SUM(E40:E41)</f>
        <v>313088.8133</v>
      </c>
      <c r="F42" s="116"/>
    </row>
    <row r="43" spans="1:6" ht="12.75">
      <c r="A43" s="7" t="s">
        <v>139</v>
      </c>
      <c r="B43" s="38"/>
      <c r="C43" s="39"/>
      <c r="D43" s="8" t="s">
        <v>127</v>
      </c>
      <c r="E43" s="55">
        <f>E42/A13/12</f>
        <v>10.5196090805849</v>
      </c>
      <c r="F43" s="116">
        <f>F20+F27+F36+F37+F38+F39+F41</f>
        <v>10.5196090805849</v>
      </c>
    </row>
    <row r="44" spans="1:5" ht="12.75">
      <c r="A44" s="10"/>
      <c r="B44" s="11"/>
      <c r="C44" s="12"/>
      <c r="D44" s="12"/>
      <c r="E44" s="1"/>
    </row>
  </sheetData>
  <mergeCells count="23">
    <mergeCell ref="A33:C33"/>
    <mergeCell ref="A34:C34"/>
    <mergeCell ref="A32:C32"/>
    <mergeCell ref="A6:E6"/>
    <mergeCell ref="A19:C19"/>
    <mergeCell ref="A21:C21"/>
    <mergeCell ref="A11:E11"/>
    <mergeCell ref="A15:A16"/>
    <mergeCell ref="C15:C16"/>
    <mergeCell ref="A22:C22"/>
    <mergeCell ref="A31:C31"/>
    <mergeCell ref="A24:C24"/>
    <mergeCell ref="A25:C25"/>
    <mergeCell ref="A27:C27"/>
    <mergeCell ref="A28:C28"/>
    <mergeCell ref="A29:C29"/>
    <mergeCell ref="A30:C30"/>
    <mergeCell ref="A26:D26"/>
    <mergeCell ref="A36:C36"/>
    <mergeCell ref="A40:C40"/>
    <mergeCell ref="A38:C38"/>
    <mergeCell ref="A42:C42"/>
    <mergeCell ref="A41:C41"/>
  </mergeCells>
  <printOptions/>
  <pageMargins left="0.75" right="0.16" top="0.28" bottom="0.25" header="0.27" footer="0.1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8" sqref="A38:C38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301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302</v>
      </c>
      <c r="B8" s="1"/>
      <c r="C8" s="1"/>
      <c r="D8" s="1"/>
      <c r="E8" s="1"/>
    </row>
    <row r="9" spans="1:5" ht="14.25">
      <c r="A9" s="3"/>
      <c r="B9" s="1"/>
      <c r="C9" s="1"/>
      <c r="D9" s="51" t="s">
        <v>303</v>
      </c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2864.5</v>
      </c>
      <c r="B13" s="48">
        <v>180</v>
      </c>
      <c r="C13" s="48">
        <v>1067.3</v>
      </c>
      <c r="D13" s="48"/>
      <c r="E13" s="6">
        <v>2723.2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284</v>
      </c>
      <c r="C15" s="157" t="s">
        <v>286</v>
      </c>
      <c r="D15" s="21"/>
      <c r="E15" s="1"/>
    </row>
    <row r="16" spans="1:5" ht="12.75">
      <c r="A16" s="181"/>
      <c r="B16" s="49" t="s">
        <v>285</v>
      </c>
      <c r="C16" s="181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3" t="s">
        <v>124</v>
      </c>
      <c r="B18" s="134"/>
      <c r="C18" s="134"/>
      <c r="D18" s="46"/>
      <c r="E18" s="47" t="s">
        <v>128</v>
      </c>
    </row>
    <row r="19" spans="1:5" ht="12.75">
      <c r="A19" s="40" t="s">
        <v>125</v>
      </c>
      <c r="B19" s="41"/>
      <c r="C19" s="41"/>
      <c r="D19" s="42"/>
      <c r="E19" s="23">
        <f>E21+E22+E23+E24</f>
        <v>73153.86119999998</v>
      </c>
    </row>
    <row r="20" spans="1:5" ht="12.75">
      <c r="A20" s="146" t="s">
        <v>137</v>
      </c>
      <c r="B20" s="147"/>
      <c r="C20" s="147"/>
      <c r="D20" s="45"/>
      <c r="E20" s="20"/>
    </row>
    <row r="21" spans="1:5" ht="12.75">
      <c r="A21" s="148" t="s">
        <v>287</v>
      </c>
      <c r="B21" s="149"/>
      <c r="C21" s="149"/>
      <c r="D21" s="43"/>
      <c r="E21" s="44">
        <f>0.438*5800*1.75*1.263*12</f>
        <v>67379.02919999999</v>
      </c>
    </row>
    <row r="22" spans="1:5" ht="12.75">
      <c r="A22" s="143" t="s">
        <v>288</v>
      </c>
      <c r="B22" s="144"/>
      <c r="C22" s="144"/>
      <c r="D22" s="20"/>
      <c r="E22" s="25">
        <f>0.04*A13*12</f>
        <v>1374.96</v>
      </c>
    </row>
    <row r="23" spans="1:5" ht="12.75">
      <c r="A23" s="143" t="s">
        <v>289</v>
      </c>
      <c r="B23" s="144"/>
      <c r="C23" s="144"/>
      <c r="D23" s="20"/>
      <c r="E23" s="25">
        <f>0.028*A13*12</f>
        <v>962.472</v>
      </c>
    </row>
    <row r="24" spans="1:5" ht="12.75">
      <c r="A24" s="143" t="s">
        <v>290</v>
      </c>
      <c r="B24" s="144"/>
      <c r="C24" s="144"/>
      <c r="D24" s="136"/>
      <c r="E24" s="26">
        <f>0.1*A13*12</f>
        <v>3437.3999999999996</v>
      </c>
    </row>
    <row r="25" spans="1:5" ht="12.75">
      <c r="A25" s="131" t="s">
        <v>126</v>
      </c>
      <c r="B25" s="132"/>
      <c r="C25" s="132"/>
      <c r="D25" s="20"/>
      <c r="E25" s="18">
        <f>E26+E27+E28+E29+E31+E32</f>
        <v>106460.80800000002</v>
      </c>
    </row>
    <row r="26" spans="1:5" ht="12.75">
      <c r="A26" s="143" t="s">
        <v>291</v>
      </c>
      <c r="B26" s="144"/>
      <c r="C26" s="144"/>
      <c r="D26" s="20"/>
      <c r="E26" s="25">
        <f>220*1.5*90.3</f>
        <v>29799</v>
      </c>
    </row>
    <row r="27" spans="1:5" ht="12.75">
      <c r="A27" s="143" t="s">
        <v>292</v>
      </c>
      <c r="B27" s="144"/>
      <c r="C27" s="144"/>
      <c r="D27" s="20"/>
      <c r="E27" s="25">
        <f>330*35.02</f>
        <v>11556.6</v>
      </c>
    </row>
    <row r="28" spans="1:5" ht="12.75">
      <c r="A28" s="143" t="s">
        <v>293</v>
      </c>
      <c r="B28" s="144"/>
      <c r="C28" s="144"/>
      <c r="D28" s="20"/>
      <c r="E28" s="26">
        <f>19600*2.73</f>
        <v>53508</v>
      </c>
    </row>
    <row r="29" spans="1:5" ht="12.75">
      <c r="A29" s="143" t="s">
        <v>294</v>
      </c>
      <c r="B29" s="144"/>
      <c r="C29" s="144"/>
      <c r="D29" s="20"/>
      <c r="E29" s="25">
        <f>0.002*A13*12</f>
        <v>68.748</v>
      </c>
    </row>
    <row r="30" spans="1:5" ht="12.75">
      <c r="A30" s="143" t="s">
        <v>295</v>
      </c>
      <c r="B30" s="144"/>
      <c r="C30" s="144"/>
      <c r="D30" s="20"/>
      <c r="E30" s="25">
        <f>0.12*489.4*12</f>
        <v>704.7359999999999</v>
      </c>
    </row>
    <row r="31" spans="1:5" ht="12.75">
      <c r="A31" s="143" t="s">
        <v>296</v>
      </c>
      <c r="B31" s="144"/>
      <c r="C31" s="144"/>
      <c r="D31" s="20"/>
      <c r="E31" s="25">
        <f>0.29*A13*12</f>
        <v>9968.46</v>
      </c>
    </row>
    <row r="32" spans="1:5" ht="12.75">
      <c r="A32" s="27" t="s">
        <v>140</v>
      </c>
      <c r="B32" s="28" t="s">
        <v>297</v>
      </c>
      <c r="C32" s="28"/>
      <c r="D32" s="20"/>
      <c r="E32" s="5">
        <f>13*120</f>
        <v>1560</v>
      </c>
    </row>
    <row r="33" spans="1:5" ht="12.75">
      <c r="A33" s="145" t="s">
        <v>143</v>
      </c>
      <c r="B33" s="135"/>
      <c r="C33" s="135"/>
      <c r="D33" s="29"/>
      <c r="E33" s="8">
        <v>87881</v>
      </c>
    </row>
    <row r="34" spans="1:5" ht="12.75">
      <c r="A34" s="52" t="s">
        <v>159</v>
      </c>
      <c r="B34" s="53"/>
      <c r="C34" s="53" t="s">
        <v>298</v>
      </c>
      <c r="D34" s="29"/>
      <c r="E34" s="18">
        <f>0.9*A13*12</f>
        <v>30936.600000000002</v>
      </c>
    </row>
    <row r="35" spans="1:5" ht="12.75">
      <c r="A35" s="137" t="s">
        <v>299</v>
      </c>
      <c r="B35" s="138"/>
      <c r="C35" s="138"/>
      <c r="D35" s="29"/>
      <c r="E35" s="18">
        <f>1.24*A13*12</f>
        <v>42623.76</v>
      </c>
    </row>
    <row r="36" spans="1:5" ht="12.75">
      <c r="A36" s="35" t="s">
        <v>93</v>
      </c>
      <c r="B36" s="36"/>
      <c r="C36" s="36" t="s">
        <v>300</v>
      </c>
      <c r="D36" s="37"/>
      <c r="E36" s="8">
        <f>0.003*A13*12</f>
        <v>103.12200000000001</v>
      </c>
    </row>
    <row r="37" spans="1:5" ht="12.75">
      <c r="A37" s="139" t="s">
        <v>279</v>
      </c>
      <c r="B37" s="140"/>
      <c r="C37" s="140"/>
      <c r="D37" s="29"/>
      <c r="E37" s="8">
        <f>E36+E35+E34+E33+E25+E19</f>
        <v>341159.1512</v>
      </c>
    </row>
    <row r="38" spans="1:5" ht="12.75" customHeight="1">
      <c r="A38" s="141" t="s">
        <v>344</v>
      </c>
      <c r="B38" s="142"/>
      <c r="C38" s="142"/>
      <c r="D38" s="29"/>
      <c r="E38" s="19">
        <f>E37*0.06</f>
        <v>20469.549072</v>
      </c>
    </row>
    <row r="39" spans="1:5" ht="12.75">
      <c r="A39" s="139" t="s">
        <v>149</v>
      </c>
      <c r="B39" s="140"/>
      <c r="C39" s="140"/>
      <c r="D39" s="29"/>
      <c r="E39" s="8">
        <f>SUM(E37:E38)</f>
        <v>361628.70027200005</v>
      </c>
    </row>
    <row r="40" spans="1:5" ht="12.75">
      <c r="A40" s="7" t="s">
        <v>139</v>
      </c>
      <c r="B40" s="38"/>
      <c r="C40" s="39"/>
      <c r="D40" s="8" t="s">
        <v>127</v>
      </c>
      <c r="E40" s="117">
        <f>E39/A13/12</f>
        <v>10.520413692674698</v>
      </c>
    </row>
    <row r="41" spans="1:5" ht="12.75">
      <c r="A41" s="10"/>
      <c r="B41" s="11"/>
      <c r="C41" s="12"/>
      <c r="D41" s="12"/>
      <c r="E41" s="1"/>
    </row>
    <row r="44" spans="1:3" ht="12.75">
      <c r="A44" s="62" t="s">
        <v>186</v>
      </c>
      <c r="B44" s="14"/>
      <c r="C44" s="15"/>
    </row>
    <row r="45" spans="1:3" ht="12.75">
      <c r="A45" s="16" t="s">
        <v>185</v>
      </c>
      <c r="B45" s="14"/>
      <c r="C45" s="15"/>
    </row>
  </sheetData>
  <mergeCells count="22">
    <mergeCell ref="A39:C39"/>
    <mergeCell ref="A27:C27"/>
    <mergeCell ref="A28:C28"/>
    <mergeCell ref="A29:C29"/>
    <mergeCell ref="A31:C31"/>
    <mergeCell ref="A30:C30"/>
    <mergeCell ref="A33:C33"/>
    <mergeCell ref="A35:C35"/>
    <mergeCell ref="A37:C37"/>
    <mergeCell ref="A38:C38"/>
    <mergeCell ref="A23:C23"/>
    <mergeCell ref="A24:D24"/>
    <mergeCell ref="A25:C25"/>
    <mergeCell ref="A26:C26"/>
    <mergeCell ref="A18:C18"/>
    <mergeCell ref="A20:C20"/>
    <mergeCell ref="A21:C21"/>
    <mergeCell ref="A22:C22"/>
    <mergeCell ref="A6:E6"/>
    <mergeCell ref="A11:E11"/>
    <mergeCell ref="A15:A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15" sqref="J15"/>
    </sheetView>
  </sheetViews>
  <sheetFormatPr defaultColWidth="9.00390625" defaultRowHeight="12.75"/>
  <cols>
    <col min="1" max="1" width="18.00390625" style="79" customWidth="1"/>
    <col min="2" max="2" width="18.375" style="79" customWidth="1"/>
    <col min="3" max="3" width="16.00390625" style="79" customWidth="1"/>
    <col min="4" max="4" width="15.125" style="79" customWidth="1"/>
    <col min="5" max="5" width="13.625" style="79" customWidth="1"/>
    <col min="6" max="16384" width="9.125" style="79" customWidth="1"/>
  </cols>
  <sheetData>
    <row r="1" s="78" customFormat="1" ht="12.75">
      <c r="C1" s="78" t="s">
        <v>142</v>
      </c>
    </row>
    <row r="2" s="78" customFormat="1" ht="12.75">
      <c r="C2" s="78" t="s">
        <v>369</v>
      </c>
    </row>
    <row r="3" s="78" customFormat="1" ht="12.75">
      <c r="C3" s="78" t="s">
        <v>74</v>
      </c>
    </row>
    <row r="4" s="78" customFormat="1" ht="12.75"/>
    <row r="5" s="78" customFormat="1" ht="12.75"/>
    <row r="6" spans="1:5" ht="15.75">
      <c r="A6" s="150" t="s">
        <v>154</v>
      </c>
      <c r="B6" s="151"/>
      <c r="C6" s="151"/>
      <c r="D6" s="151"/>
      <c r="E6" s="151"/>
    </row>
    <row r="7" spans="1:5" ht="12.75">
      <c r="A7" s="80" t="s">
        <v>127</v>
      </c>
      <c r="B7" s="80"/>
      <c r="C7" s="51"/>
      <c r="D7" s="51"/>
      <c r="E7" s="51"/>
    </row>
    <row r="8" spans="1:5" ht="15">
      <c r="A8" s="103" t="s">
        <v>180</v>
      </c>
      <c r="B8" s="51"/>
      <c r="C8" s="51"/>
      <c r="D8" s="51"/>
      <c r="E8" s="51"/>
    </row>
    <row r="9" spans="1:5" ht="15">
      <c r="A9" s="103"/>
      <c r="B9" s="51"/>
      <c r="C9" s="51"/>
      <c r="D9" s="51"/>
      <c r="E9" s="51"/>
    </row>
    <row r="10" spans="1:5" ht="12.75">
      <c r="A10" s="174" t="s">
        <v>131</v>
      </c>
      <c r="B10" s="175"/>
      <c r="C10" s="175"/>
      <c r="D10" s="175"/>
      <c r="E10" s="176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7.25" customHeight="1">
      <c r="A12" s="81">
        <v>3174.4</v>
      </c>
      <c r="B12" s="82">
        <v>296</v>
      </c>
      <c r="C12" s="82">
        <v>1079.6</v>
      </c>
      <c r="D12" s="82"/>
      <c r="E12" s="82">
        <v>3603.4</v>
      </c>
    </row>
    <row r="13" spans="1:5" ht="12.75">
      <c r="A13" s="4"/>
      <c r="B13" s="51"/>
      <c r="C13" s="51"/>
      <c r="D13" s="51"/>
      <c r="E13" s="51"/>
    </row>
    <row r="14" spans="1:5" ht="12.75">
      <c r="A14" s="177" t="s">
        <v>136</v>
      </c>
      <c r="B14" s="9" t="s">
        <v>177</v>
      </c>
      <c r="C14" s="157" t="s">
        <v>179</v>
      </c>
      <c r="D14" s="21"/>
      <c r="E14" s="51"/>
    </row>
    <row r="15" spans="1:5" ht="12.75">
      <c r="A15" s="178"/>
      <c r="B15" s="9" t="s">
        <v>178</v>
      </c>
      <c r="C15" s="158"/>
      <c r="D15" s="83"/>
      <c r="E15" s="51"/>
    </row>
    <row r="16" spans="1:5" ht="12.75">
      <c r="A16" s="4"/>
      <c r="B16" s="51"/>
      <c r="C16" s="51"/>
      <c r="D16" s="51"/>
      <c r="E16" s="51"/>
    </row>
    <row r="17" spans="1:5" ht="12.75">
      <c r="A17" s="168" t="s">
        <v>124</v>
      </c>
      <c r="B17" s="169"/>
      <c r="C17" s="169"/>
      <c r="D17" s="46"/>
      <c r="E17" s="84" t="s">
        <v>128</v>
      </c>
    </row>
    <row r="18" spans="1:5" ht="12.75">
      <c r="A18" s="85" t="s">
        <v>125</v>
      </c>
      <c r="B18" s="86"/>
      <c r="C18" s="86"/>
      <c r="D18" s="87"/>
      <c r="E18" s="88">
        <f>E20+E21+E22+E23</f>
        <v>75608.15304</v>
      </c>
    </row>
    <row r="19" spans="1:5" ht="12.75">
      <c r="A19" s="170" t="s">
        <v>137</v>
      </c>
      <c r="B19" s="171"/>
      <c r="C19" s="171"/>
      <c r="D19" s="89"/>
      <c r="E19" s="90"/>
    </row>
    <row r="20" spans="1:5" ht="12.75">
      <c r="A20" s="172" t="s">
        <v>110</v>
      </c>
      <c r="B20" s="173"/>
      <c r="C20" s="173"/>
      <c r="D20" s="91"/>
      <c r="E20" s="44">
        <f>0.47*5800*1.75*1.263*12</f>
        <v>72301.698</v>
      </c>
    </row>
    <row r="21" spans="1:5" ht="12.75" customHeight="1">
      <c r="A21" s="143" t="s">
        <v>226</v>
      </c>
      <c r="B21" s="144"/>
      <c r="C21" s="144"/>
      <c r="D21" s="20"/>
      <c r="E21" s="25">
        <f>0.04*A12*12</f>
        <v>1523.7120000000002</v>
      </c>
    </row>
    <row r="22" spans="1:5" ht="12.75" customHeight="1">
      <c r="A22" s="143" t="s">
        <v>225</v>
      </c>
      <c r="B22" s="144"/>
      <c r="C22" s="144"/>
      <c r="D22" s="20"/>
      <c r="E22" s="25">
        <f>0.014*A12*12</f>
        <v>533.2992</v>
      </c>
    </row>
    <row r="23" spans="1:5" ht="12.75" customHeight="1">
      <c r="A23" s="143" t="s">
        <v>227</v>
      </c>
      <c r="B23" s="144"/>
      <c r="C23" s="144"/>
      <c r="D23" s="136"/>
      <c r="E23" s="94">
        <f>0.0328*A12*12</f>
        <v>1249.4438400000001</v>
      </c>
    </row>
    <row r="24" spans="1:5" ht="12.75">
      <c r="A24" s="166" t="s">
        <v>126</v>
      </c>
      <c r="B24" s="167"/>
      <c r="C24" s="167"/>
      <c r="D24" s="95"/>
      <c r="E24" s="18">
        <f>E25+E26+E27+E28+E29+E30+E31</f>
        <v>90564.16799999999</v>
      </c>
    </row>
    <row r="25" spans="1:5" ht="12.75">
      <c r="A25" s="164" t="s">
        <v>228</v>
      </c>
      <c r="B25" s="165"/>
      <c r="C25" s="165"/>
      <c r="D25" s="90"/>
      <c r="E25" s="25">
        <f>150*1.5*90.3</f>
        <v>20317.5</v>
      </c>
    </row>
    <row r="26" spans="1:5" ht="12.75">
      <c r="A26" s="164" t="s">
        <v>229</v>
      </c>
      <c r="B26" s="165"/>
      <c r="C26" s="165"/>
      <c r="D26" s="90"/>
      <c r="E26" s="25">
        <f>150*1.5*35.02</f>
        <v>7879.500000000001</v>
      </c>
    </row>
    <row r="27" spans="1:5" ht="12.75">
      <c r="A27" s="164" t="s">
        <v>111</v>
      </c>
      <c r="B27" s="165"/>
      <c r="C27" s="165"/>
      <c r="D27" s="90"/>
      <c r="E27" s="94">
        <f>18400*2.73</f>
        <v>50232</v>
      </c>
    </row>
    <row r="28" spans="1:5" ht="12.75">
      <c r="A28" s="164" t="s">
        <v>112</v>
      </c>
      <c r="B28" s="165"/>
      <c r="C28" s="165"/>
      <c r="D28" s="90"/>
      <c r="E28" s="25">
        <f>0.02*A12*12</f>
        <v>761.8560000000001</v>
      </c>
    </row>
    <row r="29" spans="1:5" ht="12.75">
      <c r="A29" s="164" t="s">
        <v>175</v>
      </c>
      <c r="B29" s="165"/>
      <c r="C29" s="165"/>
      <c r="D29" s="90"/>
      <c r="E29" s="25">
        <f>0.29*A12*12</f>
        <v>11046.911999999998</v>
      </c>
    </row>
    <row r="30" spans="1:5" ht="12.75">
      <c r="A30" s="164" t="s">
        <v>113</v>
      </c>
      <c r="B30" s="165"/>
      <c r="C30" s="165"/>
      <c r="D30" s="90"/>
      <c r="E30" s="94">
        <f>60*5.44</f>
        <v>326.40000000000003</v>
      </c>
    </row>
    <row r="31" spans="1:5" ht="16.5" customHeight="1">
      <c r="A31" s="92" t="s">
        <v>163</v>
      </c>
      <c r="B31" s="93" t="s">
        <v>162</v>
      </c>
      <c r="C31" s="93"/>
      <c r="D31" s="90"/>
      <c r="E31" s="96"/>
    </row>
    <row r="32" spans="1:5" ht="16.5" customHeight="1">
      <c r="A32" s="145" t="s">
        <v>143</v>
      </c>
      <c r="B32" s="135"/>
      <c r="C32" s="135"/>
      <c r="D32" s="104"/>
      <c r="E32" s="105">
        <v>130240</v>
      </c>
    </row>
    <row r="33" spans="1:5" ht="12.75" customHeight="1">
      <c r="A33" s="30" t="s">
        <v>144</v>
      </c>
      <c r="B33" s="163" t="s">
        <v>108</v>
      </c>
      <c r="C33" s="163"/>
      <c r="D33" s="29"/>
      <c r="E33" s="8">
        <f>0.9*A12*12</f>
        <v>34283.520000000004</v>
      </c>
    </row>
    <row r="34" spans="1:5" ht="12.75">
      <c r="A34" s="31" t="s">
        <v>145</v>
      </c>
      <c r="B34" s="32"/>
      <c r="C34" s="33" t="s">
        <v>109</v>
      </c>
      <c r="D34" s="34"/>
      <c r="E34" s="18">
        <f>1.24*A12*12</f>
        <v>47235.072</v>
      </c>
    </row>
    <row r="35" spans="1:5" ht="12.75">
      <c r="A35" s="97" t="s">
        <v>146</v>
      </c>
      <c r="B35" s="98"/>
      <c r="C35" s="98" t="s">
        <v>176</v>
      </c>
      <c r="D35" s="99"/>
      <c r="E35" s="8">
        <f>0.003*A12*12</f>
        <v>114.2784</v>
      </c>
    </row>
    <row r="36" spans="1:5" ht="12.75">
      <c r="A36" s="161" t="s">
        <v>147</v>
      </c>
      <c r="B36" s="162"/>
      <c r="C36" s="162"/>
      <c r="D36" s="100"/>
      <c r="E36" s="8">
        <f>E35+E34+E33+E24+E18+E32</f>
        <v>378045.19144</v>
      </c>
    </row>
    <row r="37" spans="1:5" ht="12.75" customHeight="1">
      <c r="A37" s="141" t="s">
        <v>323</v>
      </c>
      <c r="B37" s="142"/>
      <c r="C37" s="142"/>
      <c r="D37" s="100"/>
      <c r="E37" s="19">
        <f>E36*0.06</f>
        <v>22682.7114864</v>
      </c>
    </row>
    <row r="38" spans="1:5" ht="12.75">
      <c r="A38" s="161" t="s">
        <v>149</v>
      </c>
      <c r="B38" s="162"/>
      <c r="C38" s="162"/>
      <c r="D38" s="100"/>
      <c r="E38" s="8">
        <f>SUM(E36:E37)</f>
        <v>400727.9029264</v>
      </c>
    </row>
    <row r="39" spans="1:5" ht="12.75">
      <c r="A39" s="101" t="s">
        <v>139</v>
      </c>
      <c r="B39" s="38"/>
      <c r="C39" s="39"/>
      <c r="D39" s="8"/>
      <c r="E39" s="117">
        <f>E38/A12/12</f>
        <v>10.519780717783938</v>
      </c>
    </row>
    <row r="40" spans="1:5" ht="12.75">
      <c r="A40" s="102"/>
      <c r="B40" s="11"/>
      <c r="C40" s="12"/>
      <c r="D40" s="12"/>
      <c r="E40" s="51"/>
    </row>
  </sheetData>
  <mergeCells count="22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29:C29"/>
    <mergeCell ref="A30:C30"/>
    <mergeCell ref="A26:C26"/>
    <mergeCell ref="A27:C27"/>
    <mergeCell ref="A28:C28"/>
    <mergeCell ref="A38:C38"/>
    <mergeCell ref="B33:C33"/>
    <mergeCell ref="A32:C32"/>
    <mergeCell ref="A36:C36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/>
      <c r="D1" s="54"/>
    </row>
    <row r="2" spans="3:4" ht="15">
      <c r="C2" s="54"/>
      <c r="D2" s="54"/>
    </row>
    <row r="3" spans="3:4" ht="15">
      <c r="C3" s="54"/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411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3376.6</v>
      </c>
      <c r="B13" s="48">
        <v>271</v>
      </c>
      <c r="C13" s="48">
        <v>923</v>
      </c>
      <c r="D13" s="48"/>
      <c r="E13" s="6">
        <v>2545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412</v>
      </c>
      <c r="C15" s="157" t="s">
        <v>413</v>
      </c>
      <c r="D15" s="21"/>
      <c r="E15" s="1"/>
    </row>
    <row r="16" spans="1:5" ht="12.75">
      <c r="A16" s="181"/>
      <c r="B16" s="49" t="s">
        <v>414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66033.0846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419</v>
      </c>
      <c r="B22" s="149"/>
      <c r="C22" s="149"/>
      <c r="D22" s="43"/>
      <c r="E22" s="44">
        <f>0.385*5800*1.75*1.263*12</f>
        <v>59225.859</v>
      </c>
    </row>
    <row r="23" spans="1:5" ht="12.75">
      <c r="A23" s="143" t="s">
        <v>420</v>
      </c>
      <c r="B23" s="144"/>
      <c r="C23" s="144"/>
      <c r="D23" s="20"/>
      <c r="E23" s="25">
        <f>0.04*A13*12</f>
        <v>1620.768</v>
      </c>
    </row>
    <row r="24" spans="1:5" ht="12.75">
      <c r="A24" s="143" t="s">
        <v>415</v>
      </c>
      <c r="B24" s="144"/>
      <c r="C24" s="144"/>
      <c r="D24" s="20"/>
      <c r="E24" s="25">
        <f>0.028*A13*12</f>
        <v>1134.5375999999999</v>
      </c>
    </row>
    <row r="25" spans="1:5" ht="12.75">
      <c r="A25" s="143" t="s">
        <v>421</v>
      </c>
      <c r="B25" s="144"/>
      <c r="C25" s="144"/>
      <c r="D25" s="136"/>
      <c r="E25" s="26">
        <f>0.1*A13*12</f>
        <v>4051.92</v>
      </c>
    </row>
    <row r="26" spans="1:5" ht="12.75">
      <c r="A26" s="131" t="s">
        <v>126</v>
      </c>
      <c r="B26" s="132"/>
      <c r="C26" s="132"/>
      <c r="D26" s="20"/>
      <c r="E26" s="18">
        <f>E27+E28+E29+E30+E31+E33+E32</f>
        <v>83460.3064</v>
      </c>
    </row>
    <row r="27" spans="1:5" ht="12.75">
      <c r="A27" s="143" t="s">
        <v>422</v>
      </c>
      <c r="B27" s="144"/>
      <c r="C27" s="144"/>
      <c r="D27" s="20"/>
      <c r="E27" s="25">
        <f>185*1.5*90.3</f>
        <v>25058.25</v>
      </c>
    </row>
    <row r="28" spans="1:5" ht="12.75">
      <c r="A28" s="143" t="s">
        <v>423</v>
      </c>
      <c r="B28" s="144"/>
      <c r="C28" s="144"/>
      <c r="D28" s="20"/>
      <c r="E28" s="25">
        <f>1.5*285*35.02</f>
        <v>14971.050000000001</v>
      </c>
    </row>
    <row r="29" spans="1:5" ht="12.75">
      <c r="A29" s="143" t="s">
        <v>424</v>
      </c>
      <c r="B29" s="144"/>
      <c r="C29" s="144"/>
      <c r="D29" s="20"/>
      <c r="E29" s="26">
        <f>6700*2.73</f>
        <v>18291</v>
      </c>
    </row>
    <row r="30" spans="1:5" ht="12.75">
      <c r="A30" s="143" t="s">
        <v>416</v>
      </c>
      <c r="B30" s="144"/>
      <c r="C30" s="144"/>
      <c r="D30" s="20"/>
      <c r="E30" s="25">
        <f>0.002*A13*12</f>
        <v>81.0384</v>
      </c>
    </row>
    <row r="31" spans="1:5" ht="12.75">
      <c r="A31" s="143" t="s">
        <v>417</v>
      </c>
      <c r="B31" s="144"/>
      <c r="C31" s="144"/>
      <c r="D31" s="20"/>
      <c r="E31" s="25">
        <f>0.29*A13*12</f>
        <v>11750.568</v>
      </c>
    </row>
    <row r="32" spans="1:5" ht="12.75" customHeight="1">
      <c r="A32" s="143" t="s">
        <v>425</v>
      </c>
      <c r="B32" s="144"/>
      <c r="C32" s="144"/>
      <c r="D32" s="20"/>
      <c r="E32" s="25">
        <f>70*5.44+70*16.17*4</f>
        <v>4908.400000000001</v>
      </c>
    </row>
    <row r="33" spans="1:5" ht="12.75">
      <c r="A33" s="27" t="s">
        <v>140</v>
      </c>
      <c r="B33" s="28" t="s">
        <v>234</v>
      </c>
      <c r="C33" s="28"/>
      <c r="D33" s="20"/>
      <c r="E33" s="5">
        <f>70*120</f>
        <v>8400</v>
      </c>
    </row>
    <row r="34" spans="1:5" ht="12.75">
      <c r="A34" s="145" t="s">
        <v>143</v>
      </c>
      <c r="B34" s="135"/>
      <c r="C34" s="135"/>
      <c r="D34" s="29"/>
      <c r="E34" s="8">
        <v>165801</v>
      </c>
    </row>
    <row r="35" spans="1:5" ht="12.75">
      <c r="A35" s="52" t="s">
        <v>159</v>
      </c>
      <c r="B35" s="53"/>
      <c r="C35" s="53" t="s">
        <v>426</v>
      </c>
      <c r="D35" s="29"/>
      <c r="E35" s="18">
        <f>0.9*A13*12</f>
        <v>36467.28</v>
      </c>
    </row>
    <row r="36" spans="1:5" ht="12.75">
      <c r="A36" s="137" t="s">
        <v>427</v>
      </c>
      <c r="B36" s="138"/>
      <c r="C36" s="138"/>
      <c r="D36" s="29"/>
      <c r="E36" s="18">
        <f>1.24*A13*12</f>
        <v>50243.80799999999</v>
      </c>
    </row>
    <row r="37" spans="1:5" ht="12.75">
      <c r="A37" s="35" t="s">
        <v>93</v>
      </c>
      <c r="B37" s="36"/>
      <c r="C37" s="36" t="s">
        <v>418</v>
      </c>
      <c r="D37" s="37"/>
      <c r="E37" s="8">
        <f>0.003*A13*12</f>
        <v>121.5576</v>
      </c>
    </row>
    <row r="38" spans="1:5" ht="12.75">
      <c r="A38" s="139" t="s">
        <v>279</v>
      </c>
      <c r="B38" s="140"/>
      <c r="C38" s="140"/>
      <c r="D38" s="29"/>
      <c r="E38" s="8">
        <f>E37+E36+E35+E34+E26+E20</f>
        <v>402127.0366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24127.622196</v>
      </c>
    </row>
    <row r="40" spans="1:5" ht="12.75">
      <c r="A40" s="139" t="s">
        <v>149</v>
      </c>
      <c r="B40" s="140"/>
      <c r="C40" s="140"/>
      <c r="D40" s="29"/>
      <c r="E40" s="8">
        <f>SUM(E38:E39)</f>
        <v>426254.658796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10.519819216470216</v>
      </c>
    </row>
    <row r="42" spans="1:5" ht="12.75">
      <c r="A42" s="10"/>
      <c r="B42" s="11"/>
      <c r="C42" s="12"/>
      <c r="D42" s="12"/>
      <c r="E42" s="1"/>
    </row>
    <row r="45" spans="1:3" ht="12.75">
      <c r="A45" s="62" t="s">
        <v>186</v>
      </c>
      <c r="B45" s="14"/>
      <c r="C45" s="15"/>
    </row>
    <row r="46" spans="1:3" ht="12.75">
      <c r="A46" s="16" t="s">
        <v>185</v>
      </c>
      <c r="B46" s="14"/>
      <c r="C46" s="15"/>
    </row>
  </sheetData>
  <mergeCells count="22">
    <mergeCell ref="A19:C19"/>
    <mergeCell ref="A21:C21"/>
    <mergeCell ref="A22:C22"/>
    <mergeCell ref="A6:E6"/>
    <mergeCell ref="A11:E11"/>
    <mergeCell ref="A15:A16"/>
    <mergeCell ref="C15:C16"/>
    <mergeCell ref="A23:C23"/>
    <mergeCell ref="A24:C24"/>
    <mergeCell ref="A25:D25"/>
    <mergeCell ref="A26:C26"/>
    <mergeCell ref="A31:C31"/>
    <mergeCell ref="A32:C32"/>
    <mergeCell ref="A27:C27"/>
    <mergeCell ref="A28:C28"/>
    <mergeCell ref="A29:C29"/>
    <mergeCell ref="A30:C30"/>
    <mergeCell ref="A40:C40"/>
    <mergeCell ref="A34:C34"/>
    <mergeCell ref="A36:C36"/>
    <mergeCell ref="A38:C38"/>
    <mergeCell ref="A39:C3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A42" sqref="A42:C42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301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304</v>
      </c>
      <c r="B8" s="1"/>
      <c r="C8" s="1"/>
      <c r="D8" s="1"/>
      <c r="E8" s="1"/>
    </row>
    <row r="9" spans="1:5" ht="14.25">
      <c r="A9" s="3"/>
      <c r="B9" s="1"/>
      <c r="C9" s="1"/>
      <c r="D9" s="51" t="s">
        <v>315</v>
      </c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4551.9</v>
      </c>
      <c r="B13" s="48">
        <v>397</v>
      </c>
      <c r="C13" s="48">
        <v>1131</v>
      </c>
      <c r="D13" s="48"/>
      <c r="E13" s="6">
        <v>2840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305</v>
      </c>
      <c r="C15" s="157" t="s">
        <v>307</v>
      </c>
      <c r="D15" s="21"/>
      <c r="E15" s="1"/>
    </row>
    <row r="16" spans="1:5" ht="12.75">
      <c r="A16" s="181"/>
      <c r="B16" s="49" t="s">
        <v>306</v>
      </c>
      <c r="C16" s="181"/>
      <c r="D16" s="1"/>
      <c r="E16" s="1"/>
    </row>
    <row r="17" spans="1:5" ht="25.5">
      <c r="A17" s="108" t="s">
        <v>326</v>
      </c>
      <c r="B17" s="109" t="s">
        <v>329</v>
      </c>
      <c r="C17" s="107" t="s">
        <v>328</v>
      </c>
      <c r="D17" s="1"/>
      <c r="E17" s="1"/>
    </row>
    <row r="18" spans="1:5" ht="12.75">
      <c r="A18" s="77"/>
      <c r="B18" s="74"/>
      <c r="C18" s="77"/>
      <c r="D18" s="1"/>
      <c r="E18" s="1"/>
    </row>
    <row r="19" spans="1:5" ht="12.75">
      <c r="A19" s="4"/>
      <c r="B19" s="1"/>
      <c r="C19" s="1"/>
      <c r="D19" s="1"/>
      <c r="E19" s="1"/>
    </row>
    <row r="20" spans="1:5" ht="12.75">
      <c r="A20" s="133" t="s">
        <v>124</v>
      </c>
      <c r="B20" s="134"/>
      <c r="C20" s="134"/>
      <c r="D20" s="46"/>
      <c r="E20" s="47" t="s">
        <v>128</v>
      </c>
    </row>
    <row r="21" spans="1:5" ht="12.75">
      <c r="A21" s="40" t="s">
        <v>125</v>
      </c>
      <c r="B21" s="41"/>
      <c r="C21" s="41"/>
      <c r="D21" s="42"/>
      <c r="E21" s="23">
        <f>E23+E25+E26+E27+E24</f>
        <v>109362.9492</v>
      </c>
    </row>
    <row r="22" spans="1:5" ht="12.75">
      <c r="A22" s="146" t="s">
        <v>137</v>
      </c>
      <c r="B22" s="147"/>
      <c r="C22" s="147"/>
      <c r="D22" s="45"/>
      <c r="E22" s="20"/>
    </row>
    <row r="23" spans="1:5" ht="12.75">
      <c r="A23" s="148" t="s">
        <v>308</v>
      </c>
      <c r="B23" s="149"/>
      <c r="C23" s="149"/>
      <c r="D23" s="43"/>
      <c r="E23" s="44">
        <f>0.462*5800*1.75*1.263*12</f>
        <v>71071.03080000001</v>
      </c>
    </row>
    <row r="24" spans="1:5" ht="12.75">
      <c r="A24" s="143" t="s">
        <v>330</v>
      </c>
      <c r="B24" s="192"/>
      <c r="C24" s="192"/>
      <c r="D24" s="136"/>
      <c r="E24" s="44">
        <f>0.25*5800*1.3*1.263*12</f>
        <v>28569.059999999998</v>
      </c>
    </row>
    <row r="25" spans="1:5" ht="12.75">
      <c r="A25" s="143" t="s">
        <v>327</v>
      </c>
      <c r="B25" s="144"/>
      <c r="C25" s="144"/>
      <c r="D25" s="20"/>
      <c r="E25" s="25">
        <f>0.05*A13*12</f>
        <v>2731.14</v>
      </c>
    </row>
    <row r="26" spans="1:5" ht="12.75">
      <c r="A26" s="143" t="s">
        <v>311</v>
      </c>
      <c r="B26" s="144"/>
      <c r="C26" s="144"/>
      <c r="D26" s="20"/>
      <c r="E26" s="25">
        <f>0.028*A13*12</f>
        <v>1529.4384</v>
      </c>
    </row>
    <row r="27" spans="1:5" ht="12.75">
      <c r="A27" s="143" t="s">
        <v>312</v>
      </c>
      <c r="B27" s="144"/>
      <c r="C27" s="144"/>
      <c r="D27" s="136"/>
      <c r="E27" s="26">
        <f>0.1*A13*12</f>
        <v>5462.28</v>
      </c>
    </row>
    <row r="28" spans="1:5" ht="12.75">
      <c r="A28" s="131" t="s">
        <v>126</v>
      </c>
      <c r="B28" s="132"/>
      <c r="C28" s="132"/>
      <c r="D28" s="20"/>
      <c r="E28" s="18">
        <f>E29+E30+E31+E32+E34+E36+E33+E35</f>
        <v>107028.03759999998</v>
      </c>
    </row>
    <row r="29" spans="1:5" ht="12.75">
      <c r="A29" s="143" t="s">
        <v>407</v>
      </c>
      <c r="B29" s="144"/>
      <c r="C29" s="144"/>
      <c r="D29" s="20"/>
      <c r="E29" s="25">
        <f>241*1.5*90.3</f>
        <v>32643.45</v>
      </c>
    </row>
    <row r="30" spans="1:5" ht="12.75">
      <c r="A30" s="143" t="s">
        <v>408</v>
      </c>
      <c r="B30" s="144"/>
      <c r="C30" s="144"/>
      <c r="D30" s="20"/>
      <c r="E30" s="25">
        <f>241*1.5*35.02</f>
        <v>12659.730000000001</v>
      </c>
    </row>
    <row r="31" spans="1:5" ht="12.75">
      <c r="A31" s="143" t="s">
        <v>313</v>
      </c>
      <c r="B31" s="144"/>
      <c r="C31" s="144"/>
      <c r="D31" s="20"/>
      <c r="E31" s="26">
        <f>11000*2.73</f>
        <v>30030</v>
      </c>
    </row>
    <row r="32" spans="1:5" ht="12.75">
      <c r="A32" s="143" t="s">
        <v>316</v>
      </c>
      <c r="B32" s="144"/>
      <c r="C32" s="144"/>
      <c r="D32" s="20"/>
      <c r="E32" s="25">
        <f>0.002*A13*12</f>
        <v>109.2456</v>
      </c>
    </row>
    <row r="33" spans="1:5" ht="12.75">
      <c r="A33" s="143" t="s">
        <v>317</v>
      </c>
      <c r="B33" s="144"/>
      <c r="C33" s="144"/>
      <c r="D33" s="20"/>
      <c r="E33" s="25">
        <f>0.12*1100*12</f>
        <v>1584</v>
      </c>
    </row>
    <row r="34" spans="1:5" ht="12.75">
      <c r="A34" s="143" t="s">
        <v>318</v>
      </c>
      <c r="B34" s="144"/>
      <c r="C34" s="144"/>
      <c r="D34" s="20"/>
      <c r="E34" s="25">
        <f>0.29*A13*12</f>
        <v>15840.611999999997</v>
      </c>
    </row>
    <row r="35" spans="1:5" ht="12.75">
      <c r="A35" s="143" t="s">
        <v>322</v>
      </c>
      <c r="B35" s="144"/>
      <c r="C35" s="144"/>
      <c r="D35" s="20"/>
      <c r="E35" s="25">
        <f>100*5.44+100*16.17</f>
        <v>2161</v>
      </c>
    </row>
    <row r="36" spans="1:5" ht="12.75">
      <c r="A36" s="27" t="s">
        <v>163</v>
      </c>
      <c r="B36" s="28" t="s">
        <v>309</v>
      </c>
      <c r="C36" s="28"/>
      <c r="D36" s="20"/>
      <c r="E36" s="5">
        <f>100*120</f>
        <v>12000</v>
      </c>
    </row>
    <row r="37" spans="1:5" ht="12.75">
      <c r="A37" s="145" t="s">
        <v>143</v>
      </c>
      <c r="B37" s="135"/>
      <c r="C37" s="135"/>
      <c r="D37" s="29"/>
      <c r="E37" s="8">
        <v>208651</v>
      </c>
    </row>
    <row r="38" spans="1:5" ht="12.75">
      <c r="A38" s="52" t="s">
        <v>159</v>
      </c>
      <c r="B38" s="53"/>
      <c r="C38" s="53" t="s">
        <v>319</v>
      </c>
      <c r="D38" s="29"/>
      <c r="E38" s="18">
        <f>0.9*A13*12</f>
        <v>49160.520000000004</v>
      </c>
    </row>
    <row r="39" spans="1:5" ht="12.75">
      <c r="A39" s="137" t="s">
        <v>320</v>
      </c>
      <c r="B39" s="138"/>
      <c r="C39" s="138"/>
      <c r="D39" s="29"/>
      <c r="E39" s="18">
        <f>1.24*A13*12</f>
        <v>67732.272</v>
      </c>
    </row>
    <row r="40" spans="1:5" ht="12.75">
      <c r="A40" s="35" t="s">
        <v>93</v>
      </c>
      <c r="B40" s="36"/>
      <c r="C40" s="36" t="s">
        <v>321</v>
      </c>
      <c r="D40" s="37"/>
      <c r="E40" s="8">
        <f>0.003*A13*12</f>
        <v>163.8684</v>
      </c>
    </row>
    <row r="41" spans="1:5" ht="12.75">
      <c r="A41" s="139" t="s">
        <v>279</v>
      </c>
      <c r="B41" s="140"/>
      <c r="C41" s="140"/>
      <c r="D41" s="29"/>
      <c r="E41" s="8">
        <f>E40+E39+E38+E37+E28+E21</f>
        <v>542098.6472</v>
      </c>
    </row>
    <row r="42" spans="1:5" ht="12.75" customHeight="1">
      <c r="A42" s="141" t="s">
        <v>344</v>
      </c>
      <c r="B42" s="142"/>
      <c r="C42" s="142"/>
      <c r="D42" s="29"/>
      <c r="E42" s="19">
        <f>E41*0.06</f>
        <v>32525.918832</v>
      </c>
    </row>
    <row r="43" spans="1:5" ht="12.75">
      <c r="A43" s="139" t="s">
        <v>149</v>
      </c>
      <c r="B43" s="140"/>
      <c r="C43" s="140"/>
      <c r="D43" s="29"/>
      <c r="E43" s="8">
        <f>SUM(E41:E42)</f>
        <v>574624.566032</v>
      </c>
    </row>
    <row r="44" spans="1:5" ht="12.75">
      <c r="A44" s="7" t="s">
        <v>139</v>
      </c>
      <c r="B44" s="38"/>
      <c r="C44" s="39"/>
      <c r="D44" s="8" t="s">
        <v>127</v>
      </c>
      <c r="E44" s="117">
        <f>E43/A13/12</f>
        <v>10.519866539833183</v>
      </c>
    </row>
    <row r="45" spans="1:5" ht="12.75">
      <c r="A45" s="10"/>
      <c r="B45" s="11"/>
      <c r="C45" s="12"/>
      <c r="D45" s="12"/>
      <c r="E45" s="1"/>
    </row>
    <row r="48" spans="1:3" ht="12.75" hidden="1">
      <c r="A48" s="62" t="s">
        <v>186</v>
      </c>
      <c r="B48" s="14"/>
      <c r="C48" s="15"/>
    </row>
    <row r="49" spans="1:3" ht="12.75" hidden="1">
      <c r="A49" s="16" t="s">
        <v>185</v>
      </c>
      <c r="B49" s="14"/>
      <c r="C49" s="15"/>
    </row>
  </sheetData>
  <mergeCells count="24">
    <mergeCell ref="A6:E6"/>
    <mergeCell ref="A11:E11"/>
    <mergeCell ref="A15:A16"/>
    <mergeCell ref="C15:C16"/>
    <mergeCell ref="A20:C20"/>
    <mergeCell ref="A22:C22"/>
    <mergeCell ref="A23:C23"/>
    <mergeCell ref="A25:C25"/>
    <mergeCell ref="A24:D24"/>
    <mergeCell ref="A26:C26"/>
    <mergeCell ref="A27:D27"/>
    <mergeCell ref="A28:C28"/>
    <mergeCell ref="A29:C29"/>
    <mergeCell ref="A30:C30"/>
    <mergeCell ref="A31:C31"/>
    <mergeCell ref="A32:C32"/>
    <mergeCell ref="A33:C33"/>
    <mergeCell ref="A41:C41"/>
    <mergeCell ref="A42:C42"/>
    <mergeCell ref="A43:C43"/>
    <mergeCell ref="A34:C34"/>
    <mergeCell ref="A37:C37"/>
    <mergeCell ref="A39:C39"/>
    <mergeCell ref="A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4">
      <selection activeCell="H13" sqref="H13:I17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301</v>
      </c>
      <c r="D3" s="54"/>
    </row>
    <row r="6" spans="1:5" ht="21" customHeight="1">
      <c r="A6" s="179" t="s">
        <v>154</v>
      </c>
      <c r="B6" s="179"/>
      <c r="C6" s="179"/>
      <c r="D6" s="179"/>
      <c r="E6" s="179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314</v>
      </c>
      <c r="B8" s="1"/>
      <c r="C8" s="1"/>
      <c r="D8" s="1"/>
      <c r="E8" s="1"/>
    </row>
    <row r="9" spans="1:5" ht="14.25">
      <c r="A9" s="3"/>
      <c r="B9" s="1"/>
      <c r="C9" s="1"/>
      <c r="D9" s="51" t="s">
        <v>315</v>
      </c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52" t="s">
        <v>131</v>
      </c>
      <c r="B11" s="199"/>
      <c r="C11" s="199"/>
      <c r="D11" s="199"/>
      <c r="E11" s="200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4602.2</v>
      </c>
      <c r="B13" s="48">
        <v>397</v>
      </c>
      <c r="C13" s="48">
        <v>1131</v>
      </c>
      <c r="D13" s="48"/>
      <c r="E13" s="6">
        <v>2840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55" t="s">
        <v>136</v>
      </c>
      <c r="B15" s="49" t="s">
        <v>305</v>
      </c>
      <c r="C15" s="157" t="s">
        <v>307</v>
      </c>
      <c r="D15" s="21"/>
      <c r="E15" s="1"/>
    </row>
    <row r="16" spans="1:5" ht="12.75">
      <c r="A16" s="156"/>
      <c r="B16" s="49" t="s">
        <v>306</v>
      </c>
      <c r="C16" s="158"/>
      <c r="D16" s="1"/>
      <c r="E16" s="1"/>
    </row>
    <row r="17" spans="1:5" ht="12.75">
      <c r="A17" s="4"/>
      <c r="B17" s="1"/>
      <c r="C17" s="1"/>
      <c r="D17" s="1"/>
      <c r="E17" s="1"/>
    </row>
    <row r="18" spans="1:5" ht="12.75" customHeight="1">
      <c r="A18" s="133" t="s">
        <v>124</v>
      </c>
      <c r="B18" s="134"/>
      <c r="C18" s="134"/>
      <c r="D18" s="46"/>
      <c r="E18" s="47" t="s">
        <v>128</v>
      </c>
    </row>
    <row r="19" spans="1:5" ht="12.75">
      <c r="A19" s="40" t="s">
        <v>125</v>
      </c>
      <c r="B19" s="41"/>
      <c r="C19" s="41"/>
      <c r="D19" s="42"/>
      <c r="E19" s="23">
        <f>E21+E22+E23+E24</f>
        <v>80349.066</v>
      </c>
    </row>
    <row r="20" spans="1:5" ht="12.75" customHeight="1">
      <c r="A20" s="146" t="s">
        <v>137</v>
      </c>
      <c r="B20" s="147"/>
      <c r="C20" s="147"/>
      <c r="D20" s="45"/>
      <c r="E20" s="20"/>
    </row>
    <row r="21" spans="1:5" ht="12.75" customHeight="1">
      <c r="A21" s="143" t="s">
        <v>308</v>
      </c>
      <c r="B21" s="144"/>
      <c r="C21" s="144"/>
      <c r="D21" s="43"/>
      <c r="E21" s="44">
        <f>0.462*5800*1.75*1.263*12</f>
        <v>71071.03080000001</v>
      </c>
    </row>
    <row r="22" spans="1:5" ht="12.75" customHeight="1">
      <c r="A22" s="143" t="s">
        <v>310</v>
      </c>
      <c r="B22" s="144"/>
      <c r="C22" s="144"/>
      <c r="D22" s="20"/>
      <c r="E22" s="25">
        <f>0.04*A13*12</f>
        <v>2209.056</v>
      </c>
    </row>
    <row r="23" spans="1:5" ht="12.75" customHeight="1">
      <c r="A23" s="143" t="s">
        <v>311</v>
      </c>
      <c r="B23" s="144"/>
      <c r="C23" s="144"/>
      <c r="D23" s="20"/>
      <c r="E23" s="25">
        <f>0.028*A13*12</f>
        <v>1546.3392000000001</v>
      </c>
    </row>
    <row r="24" spans="1:5" ht="12.75" customHeight="1">
      <c r="A24" s="143" t="s">
        <v>312</v>
      </c>
      <c r="B24" s="144"/>
      <c r="C24" s="144"/>
      <c r="D24" s="198"/>
      <c r="E24" s="26">
        <f>0.1*A13*12</f>
        <v>5522.64</v>
      </c>
    </row>
    <row r="25" spans="1:5" ht="12.75" customHeight="1">
      <c r="A25" s="131" t="s">
        <v>126</v>
      </c>
      <c r="B25" s="132"/>
      <c r="C25" s="132"/>
      <c r="D25" s="20"/>
      <c r="E25" s="18">
        <f>E26+E27+E28+E29+E31+E33+E30+E32</f>
        <v>108708.12879999999</v>
      </c>
    </row>
    <row r="26" spans="1:5" ht="12.75" customHeight="1">
      <c r="A26" s="143" t="s">
        <v>409</v>
      </c>
      <c r="B26" s="144"/>
      <c r="C26" s="144"/>
      <c r="D26" s="20"/>
      <c r="E26" s="25">
        <f>249*1.5*90.3</f>
        <v>33727.049999999996</v>
      </c>
    </row>
    <row r="27" spans="1:5" ht="12.75" customHeight="1">
      <c r="A27" s="143" t="s">
        <v>410</v>
      </c>
      <c r="B27" s="144"/>
      <c r="C27" s="144"/>
      <c r="D27" s="20"/>
      <c r="E27" s="25">
        <f>249*1.5*35.02</f>
        <v>13079.970000000001</v>
      </c>
    </row>
    <row r="28" spans="1:5" ht="12.75" customHeight="1">
      <c r="A28" s="143" t="s">
        <v>313</v>
      </c>
      <c r="B28" s="144"/>
      <c r="C28" s="144"/>
      <c r="D28" s="20"/>
      <c r="E28" s="26">
        <f>11000*2.73</f>
        <v>30030</v>
      </c>
    </row>
    <row r="29" spans="1:5" ht="12.75" customHeight="1">
      <c r="A29" s="143" t="s">
        <v>316</v>
      </c>
      <c r="B29" s="144"/>
      <c r="C29" s="144"/>
      <c r="D29" s="20"/>
      <c r="E29" s="25">
        <f>0.002*A13*12</f>
        <v>110.4528</v>
      </c>
    </row>
    <row r="30" spans="1:5" ht="12.75" customHeight="1">
      <c r="A30" s="143" t="s">
        <v>317</v>
      </c>
      <c r="B30" s="144"/>
      <c r="C30" s="144"/>
      <c r="D30" s="20"/>
      <c r="E30" s="25">
        <f>0.12*1100*12</f>
        <v>1584</v>
      </c>
    </row>
    <row r="31" spans="1:5" ht="12.75" customHeight="1">
      <c r="A31" s="143" t="s">
        <v>318</v>
      </c>
      <c r="B31" s="144"/>
      <c r="C31" s="144"/>
      <c r="D31" s="20"/>
      <c r="E31" s="25">
        <f>0.29*A13*12</f>
        <v>16015.655999999999</v>
      </c>
    </row>
    <row r="32" spans="1:5" ht="12.75" customHeight="1">
      <c r="A32" s="143" t="s">
        <v>322</v>
      </c>
      <c r="B32" s="144"/>
      <c r="C32" s="144"/>
      <c r="D32" s="20"/>
      <c r="E32" s="25">
        <f>100*5.44+100*16.17</f>
        <v>2161</v>
      </c>
    </row>
    <row r="33" spans="1:5" ht="12.75" customHeight="1">
      <c r="A33" s="27" t="s">
        <v>163</v>
      </c>
      <c r="B33" s="28" t="s">
        <v>309</v>
      </c>
      <c r="C33" s="28"/>
      <c r="D33" s="20"/>
      <c r="E33" s="5">
        <f>100*120</f>
        <v>12000</v>
      </c>
    </row>
    <row r="34" spans="1:5" ht="12.75" customHeight="1">
      <c r="A34" s="196" t="s">
        <v>143</v>
      </c>
      <c r="B34" s="197"/>
      <c r="C34" s="197"/>
      <c r="D34" s="29"/>
      <c r="E34" s="8">
        <v>240701</v>
      </c>
    </row>
    <row r="35" spans="1:5" ht="12.75" customHeight="1">
      <c r="A35" s="52" t="s">
        <v>159</v>
      </c>
      <c r="B35" s="53"/>
      <c r="C35" s="53" t="s">
        <v>319</v>
      </c>
      <c r="D35" s="29"/>
      <c r="E35" s="18">
        <f>0.9*A13*12</f>
        <v>49703.759999999995</v>
      </c>
    </row>
    <row r="36" spans="1:5" ht="12.75" customHeight="1">
      <c r="A36" s="182" t="s">
        <v>320</v>
      </c>
      <c r="B36" s="193"/>
      <c r="C36" s="193"/>
      <c r="D36" s="29"/>
      <c r="E36" s="18">
        <f>1.24*A13*12</f>
        <v>68480.736</v>
      </c>
    </row>
    <row r="37" spans="1:5" ht="12.75" customHeight="1">
      <c r="A37" s="35" t="s">
        <v>93</v>
      </c>
      <c r="B37" s="36"/>
      <c r="C37" s="36" t="s">
        <v>321</v>
      </c>
      <c r="D37" s="37"/>
      <c r="E37" s="8">
        <f>0.003*A13*12</f>
        <v>165.67919999999998</v>
      </c>
    </row>
    <row r="38" spans="1:5" ht="12.75" customHeight="1">
      <c r="A38" s="194" t="s">
        <v>279</v>
      </c>
      <c r="B38" s="195"/>
      <c r="C38" s="195"/>
      <c r="D38" s="29"/>
      <c r="E38" s="8">
        <f>E37+E36+E35+E34+E25+E19</f>
        <v>548108.37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32886.502199999995</v>
      </c>
    </row>
    <row r="40" spans="1:5" ht="12.75" customHeight="1">
      <c r="A40" s="194" t="s">
        <v>149</v>
      </c>
      <c r="B40" s="195"/>
      <c r="C40" s="195"/>
      <c r="D40" s="29"/>
      <c r="E40" s="8">
        <f>SUM(E38:E39)</f>
        <v>580994.8722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10.520238005736386</v>
      </c>
    </row>
    <row r="42" spans="1:5" ht="12.75" customHeight="1">
      <c r="A42" s="10"/>
      <c r="B42" s="11"/>
      <c r="C42" s="12"/>
      <c r="D42" s="12"/>
      <c r="E42" s="1"/>
    </row>
  </sheetData>
  <mergeCells count="23">
    <mergeCell ref="A6:E6"/>
    <mergeCell ref="A11:E11"/>
    <mergeCell ref="A15:A16"/>
    <mergeCell ref="C15:C16"/>
    <mergeCell ref="A18:C18"/>
    <mergeCell ref="A20:C20"/>
    <mergeCell ref="A21:C21"/>
    <mergeCell ref="A22:C22"/>
    <mergeCell ref="A23:C23"/>
    <mergeCell ref="A24:D24"/>
    <mergeCell ref="A25:C25"/>
    <mergeCell ref="A26:C26"/>
    <mergeCell ref="A31:C31"/>
    <mergeCell ref="A32:C32"/>
    <mergeCell ref="A34:C34"/>
    <mergeCell ref="A27:C27"/>
    <mergeCell ref="A28:C28"/>
    <mergeCell ref="A29:C29"/>
    <mergeCell ref="A30:C30"/>
    <mergeCell ref="A36:C36"/>
    <mergeCell ref="A40:C40"/>
    <mergeCell ref="A38:C38"/>
    <mergeCell ref="A39:C3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46" sqref="C46"/>
    </sheetView>
  </sheetViews>
  <sheetFormatPr defaultColWidth="9.00390625" defaultRowHeight="12.75"/>
  <cols>
    <col min="1" max="1" width="15.0039062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301</v>
      </c>
      <c r="D3" s="54"/>
    </row>
    <row r="6" spans="1:5" ht="21" customHeight="1">
      <c r="A6" s="179" t="s">
        <v>154</v>
      </c>
      <c r="B6" s="179"/>
      <c r="C6" s="179"/>
      <c r="D6" s="179"/>
      <c r="E6" s="179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331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52" t="s">
        <v>131</v>
      </c>
      <c r="B11" s="199"/>
      <c r="C11" s="199"/>
      <c r="D11" s="199"/>
      <c r="E11" s="200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4606.9</v>
      </c>
      <c r="B13" s="48">
        <v>398</v>
      </c>
      <c r="C13" s="48">
        <v>1660</v>
      </c>
      <c r="D13" s="48"/>
      <c r="E13" s="6">
        <v>1720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55" t="s">
        <v>136</v>
      </c>
      <c r="B15" s="49" t="s">
        <v>332</v>
      </c>
      <c r="C15" s="157" t="s">
        <v>333</v>
      </c>
      <c r="D15" s="21"/>
      <c r="E15" s="1"/>
    </row>
    <row r="16" spans="1:5" ht="12.75">
      <c r="A16" s="156"/>
      <c r="B16" s="49" t="s">
        <v>334</v>
      </c>
      <c r="C16" s="158"/>
      <c r="D16" s="1"/>
      <c r="E16" s="1"/>
    </row>
    <row r="17" spans="1:5" ht="14.25">
      <c r="A17" s="112" t="s">
        <v>335</v>
      </c>
      <c r="B17" s="9" t="s">
        <v>336</v>
      </c>
      <c r="C17" s="113" t="s">
        <v>219</v>
      </c>
      <c r="D17" s="1"/>
      <c r="E17" s="1"/>
    </row>
    <row r="18" spans="1:5" ht="14.25">
      <c r="A18" s="24"/>
      <c r="B18" s="74"/>
      <c r="C18" s="21"/>
      <c r="D18" s="1"/>
      <c r="E18" s="1"/>
    </row>
    <row r="19" spans="1:5" ht="12.75">
      <c r="A19" s="4"/>
      <c r="B19" s="1"/>
      <c r="C19" s="1"/>
      <c r="D19" s="1"/>
      <c r="E19" s="1"/>
    </row>
    <row r="20" spans="1:5" ht="12.75" customHeight="1">
      <c r="A20" s="133" t="s">
        <v>124</v>
      </c>
      <c r="B20" s="134"/>
      <c r="C20" s="134"/>
      <c r="D20" s="46"/>
      <c r="E20" s="47" t="s">
        <v>128</v>
      </c>
    </row>
    <row r="21" spans="1:5" ht="12.75">
      <c r="A21" s="40" t="s">
        <v>125</v>
      </c>
      <c r="B21" s="41"/>
      <c r="C21" s="41"/>
      <c r="D21" s="42"/>
      <c r="E21" s="23">
        <f>E23+E24+E25+E26</f>
        <v>100972.2168</v>
      </c>
    </row>
    <row r="22" spans="1:5" ht="12.75" customHeight="1">
      <c r="A22" s="146" t="s">
        <v>137</v>
      </c>
      <c r="B22" s="147"/>
      <c r="C22" s="147"/>
      <c r="D22" s="45"/>
      <c r="E22" s="20"/>
    </row>
    <row r="23" spans="1:5" ht="12.75" customHeight="1">
      <c r="A23" s="143" t="s">
        <v>345</v>
      </c>
      <c r="B23" s="144"/>
      <c r="C23" s="144"/>
      <c r="D23" s="43"/>
      <c r="E23" s="44">
        <f>0.596*5800*1.75*1.263*12</f>
        <v>91684.7064</v>
      </c>
    </row>
    <row r="24" spans="1:5" ht="12.75" customHeight="1">
      <c r="A24" s="143" t="s">
        <v>346</v>
      </c>
      <c r="B24" s="144"/>
      <c r="C24" s="144"/>
      <c r="D24" s="20"/>
      <c r="E24" s="25">
        <f>0.04*A13*12</f>
        <v>2211.312</v>
      </c>
    </row>
    <row r="25" spans="1:5" ht="12.75" customHeight="1">
      <c r="A25" s="143" t="s">
        <v>337</v>
      </c>
      <c r="B25" s="144"/>
      <c r="C25" s="144"/>
      <c r="D25" s="20"/>
      <c r="E25" s="25">
        <f>0.028*A13*12</f>
        <v>1547.9184</v>
      </c>
    </row>
    <row r="26" spans="1:5" ht="12.75" customHeight="1">
      <c r="A26" s="143" t="s">
        <v>347</v>
      </c>
      <c r="B26" s="144"/>
      <c r="C26" s="144"/>
      <c r="D26" s="198"/>
      <c r="E26" s="26">
        <f>0.1*A13*12</f>
        <v>5528.28</v>
      </c>
    </row>
    <row r="27" spans="1:5" ht="12.75" customHeight="1">
      <c r="A27" s="131" t="s">
        <v>126</v>
      </c>
      <c r="B27" s="132"/>
      <c r="C27" s="132"/>
      <c r="D27" s="20"/>
      <c r="E27" s="18">
        <f>E28+E29+E30+E31+E33+E35+E32+E34</f>
        <v>77005.2376</v>
      </c>
    </row>
    <row r="28" spans="1:5" ht="12.75" customHeight="1">
      <c r="A28" s="143" t="s">
        <v>338</v>
      </c>
      <c r="B28" s="144"/>
      <c r="C28" s="144"/>
      <c r="D28" s="20"/>
      <c r="E28" s="25">
        <f>225*1.5*90.3</f>
        <v>30476.25</v>
      </c>
    </row>
    <row r="29" spans="1:5" ht="12.75" customHeight="1">
      <c r="A29" s="143" t="s">
        <v>339</v>
      </c>
      <c r="B29" s="144"/>
      <c r="C29" s="144"/>
      <c r="D29" s="20"/>
      <c r="E29" s="25">
        <f>225*1.5*35.02</f>
        <v>11819.250000000002</v>
      </c>
    </row>
    <row r="30" spans="1:5" ht="12.75" customHeight="1">
      <c r="A30" s="143" t="s">
        <v>348</v>
      </c>
      <c r="B30" s="144"/>
      <c r="C30" s="144"/>
      <c r="D30" s="20"/>
      <c r="E30" s="26">
        <f>1000*2.73</f>
        <v>2730</v>
      </c>
    </row>
    <row r="31" spans="1:5" ht="12.75" customHeight="1">
      <c r="A31" s="143" t="s">
        <v>340</v>
      </c>
      <c r="B31" s="144"/>
      <c r="C31" s="144"/>
      <c r="D31" s="20"/>
      <c r="E31" s="25">
        <f>0.002*A13*12</f>
        <v>110.56559999999999</v>
      </c>
    </row>
    <row r="32" spans="1:5" ht="12.75" customHeight="1">
      <c r="A32" s="143" t="s">
        <v>341</v>
      </c>
      <c r="B32" s="144"/>
      <c r="C32" s="144"/>
      <c r="D32" s="20"/>
      <c r="E32" s="25">
        <f>0.12*1164*12</f>
        <v>1676.16</v>
      </c>
    </row>
    <row r="33" spans="1:5" ht="12.75" customHeight="1">
      <c r="A33" s="143" t="s">
        <v>342</v>
      </c>
      <c r="B33" s="144"/>
      <c r="C33" s="144"/>
      <c r="D33" s="20"/>
      <c r="E33" s="25">
        <f>0.29*A13*12</f>
        <v>16032.011999999997</v>
      </c>
    </row>
    <row r="34" spans="1:5" ht="12.75" customHeight="1">
      <c r="A34" s="143" t="s">
        <v>322</v>
      </c>
      <c r="B34" s="144"/>
      <c r="C34" s="144"/>
      <c r="D34" s="20"/>
      <c r="E34" s="25">
        <f>100*5.44+100*16.17</f>
        <v>2161</v>
      </c>
    </row>
    <row r="35" spans="1:5" ht="12.75" customHeight="1">
      <c r="A35" s="27" t="s">
        <v>163</v>
      </c>
      <c r="B35" s="28" t="s">
        <v>309</v>
      </c>
      <c r="C35" s="28"/>
      <c r="D35" s="20"/>
      <c r="E35" s="5">
        <f>100*120</f>
        <v>12000</v>
      </c>
    </row>
    <row r="36" spans="1:5" ht="12.75" customHeight="1">
      <c r="A36" s="196" t="s">
        <v>143</v>
      </c>
      <c r="B36" s="197"/>
      <c r="C36" s="197"/>
      <c r="D36" s="29"/>
      <c r="E36" s="8">
        <v>252201</v>
      </c>
    </row>
    <row r="37" spans="1:5" ht="12.75" customHeight="1">
      <c r="A37" s="52" t="s">
        <v>159</v>
      </c>
      <c r="B37" s="53"/>
      <c r="C37" s="53" t="s">
        <v>349</v>
      </c>
      <c r="D37" s="29"/>
      <c r="E37" s="18">
        <f>0.9*A13*12</f>
        <v>49754.520000000004</v>
      </c>
    </row>
    <row r="38" spans="1:5" ht="12.75" customHeight="1">
      <c r="A38" s="182" t="s">
        <v>350</v>
      </c>
      <c r="B38" s="193"/>
      <c r="C38" s="193"/>
      <c r="D38" s="29"/>
      <c r="E38" s="18">
        <f>1.24*A13*12</f>
        <v>68550.67199999999</v>
      </c>
    </row>
    <row r="39" spans="1:5" ht="12.75" customHeight="1">
      <c r="A39" s="35" t="s">
        <v>93</v>
      </c>
      <c r="B39" s="36"/>
      <c r="C39" s="36" t="s">
        <v>343</v>
      </c>
      <c r="D39" s="37"/>
      <c r="E39" s="8">
        <f>0.003*A13*12</f>
        <v>165.84839999999997</v>
      </c>
    </row>
    <row r="40" spans="1:5" ht="12.75" customHeight="1">
      <c r="A40" s="194" t="s">
        <v>279</v>
      </c>
      <c r="B40" s="195"/>
      <c r="C40" s="195"/>
      <c r="D40" s="29"/>
      <c r="E40" s="8">
        <f>E39+E38+E37+E36+E27+E21</f>
        <v>548649.4948</v>
      </c>
    </row>
    <row r="41" spans="1:5" ht="12.75" customHeight="1">
      <c r="A41" s="141" t="s">
        <v>344</v>
      </c>
      <c r="B41" s="142"/>
      <c r="C41" s="142"/>
      <c r="D41" s="29"/>
      <c r="E41" s="19">
        <f>E40*0.06</f>
        <v>32918.969688</v>
      </c>
    </row>
    <row r="42" spans="1:5" ht="12.75" customHeight="1">
      <c r="A42" s="194" t="s">
        <v>149</v>
      </c>
      <c r="B42" s="195"/>
      <c r="C42" s="195"/>
      <c r="D42" s="29"/>
      <c r="E42" s="8">
        <f>SUM(E40:E41)</f>
        <v>581568.464488</v>
      </c>
    </row>
    <row r="43" spans="1:5" ht="12.75">
      <c r="A43" s="7" t="s">
        <v>139</v>
      </c>
      <c r="B43" s="38"/>
      <c r="C43" s="39"/>
      <c r="D43" s="8" t="s">
        <v>127</v>
      </c>
      <c r="E43" s="117">
        <f>E42/A13/12</f>
        <v>10.519880767399627</v>
      </c>
    </row>
    <row r="44" spans="1:5" ht="12.75" customHeight="1">
      <c r="A44" s="10"/>
      <c r="B44" s="11"/>
      <c r="C44" s="12"/>
      <c r="D44" s="12"/>
      <c r="E44" s="1"/>
    </row>
  </sheetData>
  <mergeCells count="23">
    <mergeCell ref="A42:C42"/>
    <mergeCell ref="A36:C36"/>
    <mergeCell ref="A38:C38"/>
    <mergeCell ref="A40:C40"/>
    <mergeCell ref="A32:C32"/>
    <mergeCell ref="A33:C33"/>
    <mergeCell ref="A34:C34"/>
    <mergeCell ref="A41:C41"/>
    <mergeCell ref="A28:C28"/>
    <mergeCell ref="A29:C29"/>
    <mergeCell ref="A30:C30"/>
    <mergeCell ref="A31:C31"/>
    <mergeCell ref="A24:C24"/>
    <mergeCell ref="A25:C25"/>
    <mergeCell ref="A26:D26"/>
    <mergeCell ref="A27:C27"/>
    <mergeCell ref="A20:C20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35" sqref="E35"/>
    </sheetView>
  </sheetViews>
  <sheetFormatPr defaultColWidth="9.00390625" defaultRowHeight="12.75"/>
  <cols>
    <col min="1" max="1" width="18.625" style="0" customWidth="1"/>
    <col min="2" max="2" width="20.00390625" style="0" customWidth="1"/>
    <col min="3" max="3" width="15.875" style="0" customWidth="1"/>
    <col min="4" max="4" width="14.375" style="0" customWidth="1"/>
    <col min="5" max="5" width="13.37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2.5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428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3616.4</v>
      </c>
      <c r="B13" s="48">
        <v>309.2</v>
      </c>
      <c r="C13" s="48">
        <v>1535.5</v>
      </c>
      <c r="D13" s="48"/>
      <c r="E13" s="6">
        <v>1939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429</v>
      </c>
      <c r="C15" s="157" t="s">
        <v>430</v>
      </c>
      <c r="D15" s="21"/>
      <c r="E15" s="1"/>
    </row>
    <row r="16" spans="1:5" ht="12.75">
      <c r="A16" s="181"/>
      <c r="B16" s="49" t="s">
        <v>431</v>
      </c>
      <c r="C16" s="181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3" t="s">
        <v>124</v>
      </c>
      <c r="B18" s="134"/>
      <c r="C18" s="134"/>
      <c r="D18" s="46"/>
      <c r="E18" s="47" t="s">
        <v>128</v>
      </c>
    </row>
    <row r="19" spans="1:5" ht="12.75">
      <c r="A19" s="40" t="s">
        <v>125</v>
      </c>
      <c r="B19" s="41"/>
      <c r="C19" s="41"/>
      <c r="D19" s="42"/>
      <c r="E19" s="23">
        <f>E21+E22+E23+E24</f>
        <v>94052.69999999998</v>
      </c>
    </row>
    <row r="20" spans="1:5" ht="12.75">
      <c r="A20" s="146" t="s">
        <v>137</v>
      </c>
      <c r="B20" s="147"/>
      <c r="C20" s="147"/>
      <c r="D20" s="45"/>
      <c r="E20" s="20"/>
    </row>
    <row r="21" spans="1:5" ht="12.75">
      <c r="A21" s="148" t="s">
        <v>446</v>
      </c>
      <c r="B21" s="149"/>
      <c r="C21" s="149"/>
      <c r="D21" s="43"/>
      <c r="E21" s="44">
        <f>0.564*5800*1.75*1.263*12</f>
        <v>86762.03759999998</v>
      </c>
    </row>
    <row r="22" spans="1:5" ht="12.75">
      <c r="A22" s="143" t="s">
        <v>447</v>
      </c>
      <c r="B22" s="144"/>
      <c r="C22" s="144"/>
      <c r="D22" s="20"/>
      <c r="E22" s="25">
        <f>0.04*A13*12</f>
        <v>1735.872</v>
      </c>
    </row>
    <row r="23" spans="1:5" ht="12.75">
      <c r="A23" s="143" t="s">
        <v>432</v>
      </c>
      <c r="B23" s="144"/>
      <c r="C23" s="144"/>
      <c r="D23" s="20"/>
      <c r="E23" s="25">
        <f>0.028*A13*12</f>
        <v>1215.1104</v>
      </c>
    </row>
    <row r="24" spans="1:5" ht="12.75">
      <c r="A24" s="143" t="s">
        <v>458</v>
      </c>
      <c r="B24" s="144"/>
      <c r="C24" s="144"/>
      <c r="D24" s="136"/>
      <c r="E24" s="26">
        <f>0.1*A13*12</f>
        <v>4339.68</v>
      </c>
    </row>
    <row r="25" spans="1:5" ht="12.75">
      <c r="A25" s="131" t="s">
        <v>126</v>
      </c>
      <c r="B25" s="132"/>
      <c r="C25" s="132"/>
      <c r="D25" s="20"/>
      <c r="E25" s="18">
        <f>E26+E27+E28+E29+E31+E33+E32+E30</f>
        <v>62785.6976</v>
      </c>
    </row>
    <row r="26" spans="1:5" ht="12.75">
      <c r="A26" s="143" t="s">
        <v>448</v>
      </c>
      <c r="B26" s="144"/>
      <c r="C26" s="144"/>
      <c r="D26" s="20"/>
      <c r="E26" s="25">
        <f>180*1.5*90.3</f>
        <v>24381</v>
      </c>
    </row>
    <row r="27" spans="1:5" ht="12.75">
      <c r="A27" s="143" t="s">
        <v>449</v>
      </c>
      <c r="B27" s="144"/>
      <c r="C27" s="144"/>
      <c r="D27" s="20"/>
      <c r="E27" s="25">
        <f>1.5*180*35.02</f>
        <v>9455.400000000001</v>
      </c>
    </row>
    <row r="28" spans="1:5" ht="12.75">
      <c r="A28" s="143" t="s">
        <v>450</v>
      </c>
      <c r="B28" s="144"/>
      <c r="C28" s="144"/>
      <c r="D28" s="20"/>
      <c r="E28" s="26">
        <f>5300*2.73</f>
        <v>14469</v>
      </c>
    </row>
    <row r="29" spans="1:5" ht="12.75">
      <c r="A29" s="143" t="s">
        <v>433</v>
      </c>
      <c r="B29" s="144"/>
      <c r="C29" s="144"/>
      <c r="D29" s="20"/>
      <c r="E29" s="25">
        <f>0.002*A13*12</f>
        <v>86.7936</v>
      </c>
    </row>
    <row r="30" spans="1:5" ht="12.75">
      <c r="A30" s="143" t="s">
        <v>453</v>
      </c>
      <c r="B30" s="144"/>
      <c r="C30" s="144"/>
      <c r="D30" s="20"/>
      <c r="E30" s="25">
        <f>1.44*1010.3</f>
        <v>1454.8319999999999</v>
      </c>
    </row>
    <row r="31" spans="1:5" ht="12.75">
      <c r="A31" s="143" t="s">
        <v>417</v>
      </c>
      <c r="B31" s="144"/>
      <c r="C31" s="144"/>
      <c r="D31" s="20"/>
      <c r="E31" s="25">
        <f>0.29*A13*12</f>
        <v>12585.071999999998</v>
      </c>
    </row>
    <row r="32" spans="1:5" ht="12.75">
      <c r="A32" s="143" t="s">
        <v>454</v>
      </c>
      <c r="B32" s="144"/>
      <c r="C32" s="144"/>
      <c r="D32" s="20"/>
      <c r="E32" s="25">
        <f>65*5.44</f>
        <v>353.6</v>
      </c>
    </row>
    <row r="33" spans="1:5" ht="12.75">
      <c r="A33" s="27" t="s">
        <v>140</v>
      </c>
      <c r="B33" s="28" t="s">
        <v>162</v>
      </c>
      <c r="C33" s="28"/>
      <c r="D33" s="20"/>
      <c r="E33" s="5"/>
    </row>
    <row r="34" spans="1:5" ht="12.75">
      <c r="A34" s="145" t="s">
        <v>143</v>
      </c>
      <c r="B34" s="135"/>
      <c r="C34" s="135"/>
      <c r="D34" s="29"/>
      <c r="E34" s="8">
        <v>180870</v>
      </c>
    </row>
    <row r="35" spans="1:5" ht="12.75">
      <c r="A35" s="52" t="s">
        <v>159</v>
      </c>
      <c r="B35" s="53"/>
      <c r="C35" s="53" t="s">
        <v>451</v>
      </c>
      <c r="D35" s="29"/>
      <c r="E35" s="18">
        <f>0.9*A13*12</f>
        <v>39057.12</v>
      </c>
    </row>
    <row r="36" spans="1:5" ht="12.75">
      <c r="A36" s="137" t="s">
        <v>452</v>
      </c>
      <c r="B36" s="138"/>
      <c r="C36" s="138"/>
      <c r="D36" s="29"/>
      <c r="E36" s="18">
        <f>1.24*A13*12</f>
        <v>53812.03200000001</v>
      </c>
    </row>
    <row r="37" spans="1:5" ht="12.75">
      <c r="A37" s="35" t="s">
        <v>93</v>
      </c>
      <c r="B37" s="36"/>
      <c r="C37" s="36" t="s">
        <v>434</v>
      </c>
      <c r="D37" s="37"/>
      <c r="E37" s="8">
        <f>0.003*A13*12</f>
        <v>130.1904</v>
      </c>
    </row>
    <row r="38" spans="1:5" ht="12.75">
      <c r="A38" s="139" t="s">
        <v>279</v>
      </c>
      <c r="B38" s="140"/>
      <c r="C38" s="140"/>
      <c r="D38" s="29"/>
      <c r="E38" s="8">
        <f>E37+E36+E35+E34+E25+E19</f>
        <v>430707.74</v>
      </c>
    </row>
    <row r="39" spans="1:5" ht="12.75">
      <c r="A39" s="141" t="s">
        <v>344</v>
      </c>
      <c r="B39" s="142"/>
      <c r="C39" s="142"/>
      <c r="D39" s="29"/>
      <c r="E39" s="19">
        <f>E38*0.06</f>
        <v>25842.464399999997</v>
      </c>
    </row>
    <row r="40" spans="1:5" ht="12.75">
      <c r="A40" s="139" t="s">
        <v>149</v>
      </c>
      <c r="B40" s="140"/>
      <c r="C40" s="140"/>
      <c r="D40" s="29"/>
      <c r="E40" s="8">
        <f>SUM(E38:E39)</f>
        <v>456550.2044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10.520365658297385</v>
      </c>
    </row>
  </sheetData>
  <mergeCells count="23">
    <mergeCell ref="A39:C39"/>
    <mergeCell ref="A40:C40"/>
    <mergeCell ref="A34:C34"/>
    <mergeCell ref="A36:C36"/>
    <mergeCell ref="A38:C38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D24"/>
    <mergeCell ref="A25:C25"/>
    <mergeCell ref="A18:C18"/>
    <mergeCell ref="A20:C20"/>
    <mergeCell ref="A21:C21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3" sqref="C3"/>
    </sheetView>
  </sheetViews>
  <sheetFormatPr defaultColWidth="9.00390625" defaultRowHeight="12.75"/>
  <cols>
    <col min="1" max="1" width="18.125" style="0" customWidth="1"/>
    <col min="2" max="2" width="18.375" style="0" customWidth="1"/>
    <col min="3" max="3" width="18.75390625" style="0" customWidth="1"/>
    <col min="4" max="4" width="14.625" style="0" customWidth="1"/>
    <col min="5" max="5" width="12.1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8" spans="1:5" ht="20.25" customHeight="1">
      <c r="A8" s="179" t="s">
        <v>325</v>
      </c>
      <c r="B8" s="180"/>
      <c r="C8" s="180"/>
      <c r="D8" s="180"/>
      <c r="E8" s="180"/>
    </row>
    <row r="9" spans="1:5" ht="15.75">
      <c r="A9" s="2" t="s">
        <v>127</v>
      </c>
      <c r="B9" s="2"/>
      <c r="C9" s="1"/>
      <c r="D9" s="1"/>
      <c r="E9" s="1"/>
    </row>
    <row r="10" spans="1:5" ht="14.25">
      <c r="A10" s="3" t="s">
        <v>435</v>
      </c>
      <c r="B10" s="1"/>
      <c r="C10" s="1"/>
      <c r="D10" s="1"/>
      <c r="E10" s="1"/>
    </row>
    <row r="11" spans="1:5" ht="14.25">
      <c r="A11" s="3"/>
      <c r="B11" s="1"/>
      <c r="C11" s="1"/>
      <c r="D11" s="51"/>
      <c r="E11" s="1"/>
    </row>
    <row r="12" spans="1:5" ht="14.25">
      <c r="A12" s="3"/>
      <c r="B12" s="1"/>
      <c r="C12" s="1"/>
      <c r="D12" s="1"/>
      <c r="E12" s="1"/>
    </row>
    <row r="13" spans="1:5" ht="12.75">
      <c r="A13" s="152" t="s">
        <v>131</v>
      </c>
      <c r="B13" s="153"/>
      <c r="C13" s="153"/>
      <c r="D13" s="153"/>
      <c r="E13" s="154"/>
    </row>
    <row r="14" spans="1:5" ht="12.75">
      <c r="A14" s="17" t="s">
        <v>132</v>
      </c>
      <c r="B14" s="17" t="s">
        <v>133</v>
      </c>
      <c r="C14" s="17" t="s">
        <v>134</v>
      </c>
      <c r="D14" s="17" t="s">
        <v>135</v>
      </c>
      <c r="E14" s="17" t="s">
        <v>129</v>
      </c>
    </row>
    <row r="15" spans="1:5" ht="14.25">
      <c r="A15" s="50">
        <v>4881.3</v>
      </c>
      <c r="B15" s="48">
        <v>304.7</v>
      </c>
      <c r="C15" s="48">
        <v>1012.1</v>
      </c>
      <c r="D15" s="48"/>
      <c r="E15" s="6">
        <v>6301</v>
      </c>
    </row>
    <row r="16" spans="1:5" ht="14.25">
      <c r="A16" s="3"/>
      <c r="B16" s="1"/>
      <c r="C16" s="1"/>
      <c r="D16" s="1"/>
      <c r="E16" s="1"/>
    </row>
    <row r="17" spans="1:5" ht="12.75">
      <c r="A17" s="155" t="s">
        <v>136</v>
      </c>
      <c r="B17" s="49" t="s">
        <v>436</v>
      </c>
      <c r="C17" s="157" t="s">
        <v>437</v>
      </c>
      <c r="D17" s="21"/>
      <c r="E17" s="1"/>
    </row>
    <row r="18" spans="1:5" ht="12.75">
      <c r="A18" s="181"/>
      <c r="B18" s="49" t="s">
        <v>438</v>
      </c>
      <c r="C18" s="181"/>
      <c r="D18" s="1"/>
      <c r="E18" s="1"/>
    </row>
    <row r="19" spans="1:5" ht="12.75">
      <c r="A19" s="77"/>
      <c r="B19" s="74"/>
      <c r="C19" s="77"/>
      <c r="D19" s="1"/>
      <c r="E19" s="1"/>
    </row>
    <row r="20" spans="1:5" ht="12.75">
      <c r="A20" s="4"/>
      <c r="B20" s="1"/>
      <c r="C20" s="1"/>
      <c r="D20" s="1"/>
      <c r="E20" s="1"/>
    </row>
    <row r="21" spans="1:5" ht="12.75">
      <c r="A21" s="133" t="s">
        <v>124</v>
      </c>
      <c r="B21" s="134"/>
      <c r="C21" s="134"/>
      <c r="D21" s="46"/>
      <c r="E21" s="47" t="s">
        <v>128</v>
      </c>
    </row>
    <row r="22" spans="1:5" ht="12.75">
      <c r="A22" s="40" t="s">
        <v>125</v>
      </c>
      <c r="B22" s="41"/>
      <c r="C22" s="41"/>
      <c r="D22" s="42"/>
      <c r="E22" s="23">
        <f>E24+E25+E26+E27</f>
        <v>92171.1474</v>
      </c>
    </row>
    <row r="23" spans="1:5" ht="12.75">
      <c r="A23" s="146" t="s">
        <v>137</v>
      </c>
      <c r="B23" s="147"/>
      <c r="C23" s="147"/>
      <c r="D23" s="45"/>
      <c r="E23" s="20"/>
    </row>
    <row r="24" spans="1:5" ht="12.75">
      <c r="A24" s="148" t="s">
        <v>455</v>
      </c>
      <c r="B24" s="149"/>
      <c r="C24" s="149"/>
      <c r="D24" s="43"/>
      <c r="E24" s="44">
        <f>0.539*5800*1.75*1.263*12</f>
        <v>82916.20259999999</v>
      </c>
    </row>
    <row r="25" spans="1:5" ht="12.75">
      <c r="A25" s="143" t="s">
        <v>456</v>
      </c>
      <c r="B25" s="144"/>
      <c r="C25" s="144"/>
      <c r="D25" s="20"/>
      <c r="E25" s="25">
        <f>0.04*A15*12</f>
        <v>2343.0240000000003</v>
      </c>
    </row>
    <row r="26" spans="1:5" ht="12.75">
      <c r="A26" s="143" t="s">
        <v>439</v>
      </c>
      <c r="B26" s="144"/>
      <c r="C26" s="144"/>
      <c r="D26" s="20"/>
      <c r="E26" s="25">
        <f>0.028*A15*12</f>
        <v>1640.1168</v>
      </c>
    </row>
    <row r="27" spans="1:5" ht="12.75">
      <c r="A27" s="143" t="s">
        <v>457</v>
      </c>
      <c r="B27" s="144"/>
      <c r="C27" s="144"/>
      <c r="D27" s="136"/>
      <c r="E27" s="26">
        <f>0.09*A15*12</f>
        <v>5271.804</v>
      </c>
    </row>
    <row r="28" spans="1:5" ht="12.75">
      <c r="A28" s="131" t="s">
        <v>126</v>
      </c>
      <c r="B28" s="132"/>
      <c r="C28" s="132"/>
      <c r="D28" s="20"/>
      <c r="E28" s="18">
        <f>E29+E30+E31+E32+E34+E36+E35+E33</f>
        <v>87357.57519999999</v>
      </c>
    </row>
    <row r="29" spans="1:5" ht="12.75">
      <c r="A29" s="143" t="s">
        <v>459</v>
      </c>
      <c r="B29" s="144"/>
      <c r="C29" s="144"/>
      <c r="D29" s="20"/>
      <c r="E29" s="25">
        <f>218*1.5*90.3</f>
        <v>29528.1</v>
      </c>
    </row>
    <row r="30" spans="1:5" ht="12.75">
      <c r="A30" s="143" t="s">
        <v>460</v>
      </c>
      <c r="B30" s="144"/>
      <c r="C30" s="144"/>
      <c r="D30" s="20"/>
      <c r="E30" s="25">
        <f>1.5*218*35.02</f>
        <v>11451.54</v>
      </c>
    </row>
    <row r="31" spans="1:5" ht="12.75">
      <c r="A31" s="143" t="s">
        <v>440</v>
      </c>
      <c r="B31" s="144"/>
      <c r="C31" s="144"/>
      <c r="D31" s="20"/>
      <c r="E31" s="26">
        <f>11000*2.48</f>
        <v>27280</v>
      </c>
    </row>
    <row r="32" spans="1:5" ht="12.75">
      <c r="A32" s="143" t="s">
        <v>441</v>
      </c>
      <c r="B32" s="144"/>
      <c r="C32" s="144"/>
      <c r="D32" s="20"/>
      <c r="E32" s="25">
        <f>0.002*A15*12</f>
        <v>117.15120000000002</v>
      </c>
    </row>
    <row r="33" spans="1:5" ht="12.75">
      <c r="A33" s="143" t="s">
        <v>442</v>
      </c>
      <c r="B33" s="144"/>
      <c r="C33" s="144"/>
      <c r="D33" s="20"/>
      <c r="E33" s="25">
        <f>0.12*1084*12</f>
        <v>1560.9599999999998</v>
      </c>
    </row>
    <row r="34" spans="1:5" ht="12.75">
      <c r="A34" s="143" t="s">
        <v>443</v>
      </c>
      <c r="B34" s="144"/>
      <c r="C34" s="144"/>
      <c r="D34" s="20"/>
      <c r="E34" s="25">
        <f>0.29*A15*12</f>
        <v>16986.924</v>
      </c>
    </row>
    <row r="35" spans="1:5" ht="12.75">
      <c r="A35" s="143" t="s">
        <v>444</v>
      </c>
      <c r="B35" s="144"/>
      <c r="C35" s="144"/>
      <c r="D35" s="20"/>
      <c r="E35" s="25">
        <f>90*4.81</f>
        <v>432.9</v>
      </c>
    </row>
    <row r="36" spans="1:5" ht="12.75">
      <c r="A36" s="27" t="s">
        <v>140</v>
      </c>
      <c r="B36" s="28" t="s">
        <v>162</v>
      </c>
      <c r="C36" s="28"/>
      <c r="D36" s="20"/>
      <c r="E36" s="5"/>
    </row>
    <row r="37" spans="1:5" ht="12.75">
      <c r="A37" s="145" t="s">
        <v>143</v>
      </c>
      <c r="B37" s="135"/>
      <c r="C37" s="135"/>
      <c r="D37" s="29"/>
      <c r="E37" s="8">
        <v>276271</v>
      </c>
    </row>
    <row r="38" spans="1:5" ht="12.75">
      <c r="A38" s="52" t="s">
        <v>159</v>
      </c>
      <c r="B38" s="53"/>
      <c r="C38" s="53" t="s">
        <v>462</v>
      </c>
      <c r="D38" s="29"/>
      <c r="E38" s="18">
        <f>0.9*A15*12</f>
        <v>52718.04</v>
      </c>
    </row>
    <row r="39" spans="1:5" ht="12.75">
      <c r="A39" s="137" t="s">
        <v>461</v>
      </c>
      <c r="B39" s="138"/>
      <c r="C39" s="138"/>
      <c r="D39" s="29"/>
      <c r="E39" s="18">
        <f>1.24*A15*12</f>
        <v>72633.744</v>
      </c>
    </row>
    <row r="40" spans="1:5" ht="12.75">
      <c r="A40" s="35" t="s">
        <v>93</v>
      </c>
      <c r="B40" s="36"/>
      <c r="C40" s="36" t="s">
        <v>445</v>
      </c>
      <c r="D40" s="37"/>
      <c r="E40" s="8">
        <f>0.003*A15*12</f>
        <v>175.7268</v>
      </c>
    </row>
    <row r="41" spans="1:5" ht="12.75">
      <c r="A41" s="139" t="s">
        <v>279</v>
      </c>
      <c r="B41" s="140"/>
      <c r="C41" s="140"/>
      <c r="D41" s="29"/>
      <c r="E41" s="8">
        <f>E40+E39+E38+E37+E28+E22</f>
        <v>581327.2334</v>
      </c>
    </row>
    <row r="42" spans="1:5" ht="12.75">
      <c r="A42" s="141" t="s">
        <v>344</v>
      </c>
      <c r="B42" s="142"/>
      <c r="C42" s="142"/>
      <c r="D42" s="29"/>
      <c r="E42" s="19">
        <f>E41*0.06</f>
        <v>34879.634004</v>
      </c>
    </row>
    <row r="43" spans="1:5" ht="12.75">
      <c r="A43" s="139" t="s">
        <v>149</v>
      </c>
      <c r="B43" s="140"/>
      <c r="C43" s="140"/>
      <c r="D43" s="29"/>
      <c r="E43" s="8">
        <f>SUM(E41:E42)</f>
        <v>616206.867404</v>
      </c>
    </row>
    <row r="44" spans="1:5" ht="12.75">
      <c r="A44" s="7" t="s">
        <v>139</v>
      </c>
      <c r="B44" s="38"/>
      <c r="C44" s="39"/>
      <c r="D44" s="8" t="s">
        <v>127</v>
      </c>
      <c r="E44" s="117">
        <f>E43/A15/12</f>
        <v>10.519855834238147</v>
      </c>
    </row>
  </sheetData>
  <mergeCells count="23">
    <mergeCell ref="A42:C42"/>
    <mergeCell ref="A43:C43"/>
    <mergeCell ref="A37:C37"/>
    <mergeCell ref="A39:C39"/>
    <mergeCell ref="A41:C41"/>
    <mergeCell ref="A33:C33"/>
    <mergeCell ref="A34:C34"/>
    <mergeCell ref="A35:C35"/>
    <mergeCell ref="A29:C29"/>
    <mergeCell ref="A30:C30"/>
    <mergeCell ref="A31:C31"/>
    <mergeCell ref="A32:C32"/>
    <mergeCell ref="A25:C25"/>
    <mergeCell ref="A26:C26"/>
    <mergeCell ref="A27:D27"/>
    <mergeCell ref="A28:C28"/>
    <mergeCell ref="A21:C21"/>
    <mergeCell ref="A23:C23"/>
    <mergeCell ref="A24:C24"/>
    <mergeCell ref="A8:E8"/>
    <mergeCell ref="A13:E13"/>
    <mergeCell ref="A17:A18"/>
    <mergeCell ref="C17:C1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N10" sqref="N1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463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3229.7</v>
      </c>
      <c r="B13" s="48">
        <v>245.5</v>
      </c>
      <c r="C13" s="48">
        <v>619</v>
      </c>
      <c r="D13" s="48"/>
      <c r="E13" s="6">
        <v>4082.9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464</v>
      </c>
      <c r="C15" s="157" t="s">
        <v>465</v>
      </c>
      <c r="D15" s="21"/>
      <c r="E15" s="1"/>
    </row>
    <row r="16" spans="1:5" ht="12.75">
      <c r="A16" s="181"/>
      <c r="B16" s="49" t="s">
        <v>466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58199.0976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471</v>
      </c>
      <c r="B22" s="149"/>
      <c r="C22" s="149"/>
      <c r="D22" s="43"/>
      <c r="E22" s="44">
        <f>0.336*5800*1.75*1.263*12</f>
        <v>51688.0224</v>
      </c>
    </row>
    <row r="23" spans="1:5" ht="12.75">
      <c r="A23" s="143" t="s">
        <v>472</v>
      </c>
      <c r="B23" s="144"/>
      <c r="C23" s="144"/>
      <c r="D23" s="20"/>
      <c r="E23" s="25">
        <f>0.04*A13*12</f>
        <v>1550.2559999999999</v>
      </c>
    </row>
    <row r="24" spans="1:5" ht="12.75">
      <c r="A24" s="143" t="s">
        <v>467</v>
      </c>
      <c r="B24" s="144"/>
      <c r="C24" s="144"/>
      <c r="D24" s="20"/>
      <c r="E24" s="25">
        <f>0.028*A13*12</f>
        <v>1085.1792</v>
      </c>
    </row>
    <row r="25" spans="1:5" ht="12.75">
      <c r="A25" s="143" t="s">
        <v>473</v>
      </c>
      <c r="B25" s="144"/>
      <c r="C25" s="144"/>
      <c r="D25" s="136"/>
      <c r="E25" s="26">
        <f>0.1*A13*12</f>
        <v>3875.6400000000003</v>
      </c>
    </row>
    <row r="26" spans="1:5" ht="12.75">
      <c r="A26" s="131" t="s">
        <v>126</v>
      </c>
      <c r="B26" s="132"/>
      <c r="C26" s="132"/>
      <c r="D26" s="20"/>
      <c r="E26" s="18">
        <f>E27+E28+E29+E30+E31+E33+E32</f>
        <v>68279.3288</v>
      </c>
    </row>
    <row r="27" spans="1:5" ht="12.75">
      <c r="A27" s="143" t="s">
        <v>474</v>
      </c>
      <c r="B27" s="144"/>
      <c r="C27" s="144"/>
      <c r="D27" s="20"/>
      <c r="E27" s="25">
        <f>157*1.5*90.3</f>
        <v>21265.649999999998</v>
      </c>
    </row>
    <row r="28" spans="1:5" ht="12.75">
      <c r="A28" s="143" t="s">
        <v>475</v>
      </c>
      <c r="B28" s="144"/>
      <c r="C28" s="144"/>
      <c r="D28" s="20"/>
      <c r="E28" s="25">
        <f>1.5*157*35.02</f>
        <v>8247.210000000001</v>
      </c>
    </row>
    <row r="29" spans="1:5" ht="12.75">
      <c r="A29" s="143" t="s">
        <v>476</v>
      </c>
      <c r="B29" s="144"/>
      <c r="C29" s="144"/>
      <c r="D29" s="20"/>
      <c r="E29" s="26">
        <f>8000*2.73</f>
        <v>21840</v>
      </c>
    </row>
    <row r="30" spans="1:5" ht="12.75">
      <c r="A30" s="143" t="s">
        <v>468</v>
      </c>
      <c r="B30" s="144"/>
      <c r="C30" s="144"/>
      <c r="D30" s="20"/>
      <c r="E30" s="25">
        <f>0.002*A13*12</f>
        <v>77.5128</v>
      </c>
    </row>
    <row r="31" spans="1:5" ht="12.75">
      <c r="A31" s="143" t="s">
        <v>469</v>
      </c>
      <c r="B31" s="144"/>
      <c r="C31" s="144"/>
      <c r="D31" s="20"/>
      <c r="E31" s="25">
        <f>0.29*A13*12</f>
        <v>11239.355999999998</v>
      </c>
    </row>
    <row r="32" spans="1:5" ht="12.75" customHeight="1">
      <c r="A32" s="143" t="s">
        <v>477</v>
      </c>
      <c r="B32" s="144"/>
      <c r="C32" s="144"/>
      <c r="D32" s="20"/>
      <c r="E32" s="25">
        <f>80*5.44+80*16.17*4</f>
        <v>5609.6</v>
      </c>
    </row>
    <row r="33" spans="1:5" ht="12.75">
      <c r="A33" s="27" t="s">
        <v>140</v>
      </c>
      <c r="B33" s="28" t="s">
        <v>162</v>
      </c>
      <c r="C33" s="28"/>
      <c r="D33" s="20"/>
      <c r="E33" s="5"/>
    </row>
    <row r="34" spans="1:5" ht="12.75">
      <c r="A34" s="145" t="s">
        <v>143</v>
      </c>
      <c r="B34" s="135"/>
      <c r="C34" s="135"/>
      <c r="D34" s="29"/>
      <c r="E34" s="8">
        <v>175100</v>
      </c>
    </row>
    <row r="35" spans="1:5" ht="12.75">
      <c r="A35" s="52" t="s">
        <v>159</v>
      </c>
      <c r="B35" s="53"/>
      <c r="C35" s="53" t="s">
        <v>478</v>
      </c>
      <c r="D35" s="29"/>
      <c r="E35" s="18">
        <f>0.9*A13*12</f>
        <v>34880.76</v>
      </c>
    </row>
    <row r="36" spans="1:5" ht="12.75">
      <c r="A36" s="137" t="s">
        <v>479</v>
      </c>
      <c r="B36" s="138"/>
      <c r="C36" s="138"/>
      <c r="D36" s="29"/>
      <c r="E36" s="18">
        <f>1.24*A13*12</f>
        <v>48057.935999999994</v>
      </c>
    </row>
    <row r="37" spans="1:5" ht="12.75">
      <c r="A37" s="35" t="s">
        <v>93</v>
      </c>
      <c r="B37" s="36"/>
      <c r="C37" s="36" t="s">
        <v>470</v>
      </c>
      <c r="D37" s="37"/>
      <c r="E37" s="8">
        <f>0.003*A13*12</f>
        <v>116.2692</v>
      </c>
    </row>
    <row r="38" spans="1:5" ht="12.75">
      <c r="A38" s="139" t="s">
        <v>279</v>
      </c>
      <c r="B38" s="140"/>
      <c r="C38" s="140"/>
      <c r="D38" s="29"/>
      <c r="E38" s="8">
        <f>E37+E36+E35+E34+E26+E20</f>
        <v>384633.3916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23078.003495999998</v>
      </c>
    </row>
    <row r="40" spans="1:5" ht="12.75">
      <c r="A40" s="139" t="s">
        <v>149</v>
      </c>
      <c r="B40" s="140"/>
      <c r="C40" s="140"/>
      <c r="D40" s="29"/>
      <c r="E40" s="8">
        <f>SUM(E38:E39)</f>
        <v>407711.395096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10.519846918083207</v>
      </c>
    </row>
    <row r="42" spans="1:5" ht="12.75">
      <c r="A42" s="10"/>
      <c r="B42" s="11"/>
      <c r="C42" s="12"/>
      <c r="D42" s="12"/>
      <c r="E42" s="1"/>
    </row>
  </sheetData>
  <mergeCells count="22">
    <mergeCell ref="A34:C34"/>
    <mergeCell ref="A36:C36"/>
    <mergeCell ref="A40:C40"/>
    <mergeCell ref="A38:C38"/>
    <mergeCell ref="A39:C39"/>
    <mergeCell ref="A31:C31"/>
    <mergeCell ref="A32:C32"/>
    <mergeCell ref="A27:C27"/>
    <mergeCell ref="A28:C28"/>
    <mergeCell ref="A29:C29"/>
    <mergeCell ref="A30:C30"/>
    <mergeCell ref="A23:C23"/>
    <mergeCell ref="A26:C26"/>
    <mergeCell ref="A24:C24"/>
    <mergeCell ref="A25:D25"/>
    <mergeCell ref="A21:C21"/>
    <mergeCell ref="A22:C22"/>
    <mergeCell ref="A19:C19"/>
    <mergeCell ref="A6:E6"/>
    <mergeCell ref="A11:E11"/>
    <mergeCell ref="A15:A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" sqref="A3:E6"/>
    </sheetView>
  </sheetViews>
  <sheetFormatPr defaultColWidth="9.00390625" defaultRowHeight="12.75"/>
  <cols>
    <col min="1" max="1" width="16.25390625" style="0" customWidth="1"/>
    <col min="2" max="2" width="19.125" style="0" customWidth="1"/>
    <col min="3" max="3" width="16.25390625" style="0" customWidth="1"/>
    <col min="4" max="4" width="13.375" style="0" customWidth="1"/>
    <col min="5" max="5" width="14.2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18.75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480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1994.7</v>
      </c>
      <c r="B13" s="48">
        <v>169.1</v>
      </c>
      <c r="C13" s="48">
        <v>761.9</v>
      </c>
      <c r="D13" s="48"/>
      <c r="E13" s="6">
        <v>1094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481</v>
      </c>
      <c r="C15" s="157" t="s">
        <v>482</v>
      </c>
      <c r="D15" s="21"/>
      <c r="E15" s="1"/>
    </row>
    <row r="16" spans="1:5" ht="12.75">
      <c r="A16" s="181"/>
      <c r="B16" s="49" t="s">
        <v>483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47316.80339999999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493</v>
      </c>
      <c r="B22" s="149"/>
      <c r="C22" s="149"/>
      <c r="D22" s="43"/>
      <c r="E22" s="44">
        <f>0.283*5800*1.75*1.263*12</f>
        <v>43534.852199999994</v>
      </c>
    </row>
    <row r="23" spans="1:5" ht="12.75">
      <c r="A23" s="143" t="s">
        <v>494</v>
      </c>
      <c r="B23" s="144"/>
      <c r="C23" s="144"/>
      <c r="D23" s="20"/>
      <c r="E23" s="25">
        <f>0.04*A13*12</f>
        <v>957.4559999999999</v>
      </c>
    </row>
    <row r="24" spans="1:5" ht="12.75">
      <c r="A24" s="143" t="s">
        <v>484</v>
      </c>
      <c r="B24" s="144"/>
      <c r="C24" s="144"/>
      <c r="D24" s="20"/>
      <c r="E24" s="25">
        <f>0.028*A13*12</f>
        <v>670.2192</v>
      </c>
    </row>
    <row r="25" spans="1:5" ht="12.75">
      <c r="A25" s="143" t="s">
        <v>485</v>
      </c>
      <c r="B25" s="144"/>
      <c r="C25" s="144"/>
      <c r="D25" s="136"/>
      <c r="E25" s="26">
        <f>0.09*A13*12</f>
        <v>2154.276</v>
      </c>
    </row>
    <row r="26" spans="1:5" ht="12.75">
      <c r="A26" s="131" t="s">
        <v>126</v>
      </c>
      <c r="B26" s="132"/>
      <c r="C26" s="132"/>
      <c r="D26" s="20"/>
      <c r="E26" s="18">
        <f>E27+E28+E29+E30+E32+E34+E33+E31</f>
        <v>36111.6888</v>
      </c>
    </row>
    <row r="27" spans="1:5" ht="12.75">
      <c r="A27" s="143" t="s">
        <v>486</v>
      </c>
      <c r="B27" s="144"/>
      <c r="C27" s="144"/>
      <c r="D27" s="20"/>
      <c r="E27" s="25">
        <f>89*1.5*90.3</f>
        <v>12055.05</v>
      </c>
    </row>
    <row r="28" spans="1:5" ht="12.75">
      <c r="A28" s="143" t="s">
        <v>487</v>
      </c>
      <c r="B28" s="144"/>
      <c r="C28" s="144"/>
      <c r="D28" s="20"/>
      <c r="E28" s="25">
        <f>1.5*89*35.02</f>
        <v>4675.17</v>
      </c>
    </row>
    <row r="29" spans="1:5" ht="12.75">
      <c r="A29" s="143" t="s">
        <v>491</v>
      </c>
      <c r="B29" s="144"/>
      <c r="C29" s="144"/>
      <c r="D29" s="20"/>
      <c r="E29" s="26">
        <f>3400*2.73</f>
        <v>9282</v>
      </c>
    </row>
    <row r="30" spans="1:5" ht="12.75">
      <c r="A30" s="143" t="s">
        <v>488</v>
      </c>
      <c r="B30" s="144"/>
      <c r="C30" s="144"/>
      <c r="D30" s="20"/>
      <c r="E30" s="25">
        <f>0.002*A13*12</f>
        <v>47.872800000000005</v>
      </c>
    </row>
    <row r="31" spans="1:5" ht="12.75">
      <c r="A31" s="143" t="s">
        <v>492</v>
      </c>
      <c r="B31" s="144"/>
      <c r="C31" s="144"/>
      <c r="D31" s="20"/>
      <c r="E31" s="25">
        <f>1.44*845</f>
        <v>1216.8</v>
      </c>
    </row>
    <row r="32" spans="1:5" ht="12.75">
      <c r="A32" s="143" t="s">
        <v>489</v>
      </c>
      <c r="B32" s="144"/>
      <c r="C32" s="144"/>
      <c r="D32" s="20"/>
      <c r="E32" s="25">
        <f>0.29*A13*12</f>
        <v>6941.556</v>
      </c>
    </row>
    <row r="33" spans="1:5" ht="12.75">
      <c r="A33" s="143" t="s">
        <v>495</v>
      </c>
      <c r="B33" s="144"/>
      <c r="C33" s="144"/>
      <c r="D33" s="20"/>
      <c r="E33" s="25">
        <f>27*5.44+27*16.17*4</f>
        <v>1893.2400000000002</v>
      </c>
    </row>
    <row r="34" spans="1:5" ht="12.75">
      <c r="A34" s="27" t="s">
        <v>140</v>
      </c>
      <c r="B34" s="28" t="s">
        <v>162</v>
      </c>
      <c r="C34" s="28"/>
      <c r="D34" s="20"/>
      <c r="E34" s="5"/>
    </row>
    <row r="35" spans="1:5" ht="12.75">
      <c r="A35" s="145" t="s">
        <v>143</v>
      </c>
      <c r="B35" s="135"/>
      <c r="C35" s="135"/>
      <c r="D35" s="29"/>
      <c r="E35" s="8">
        <v>102830</v>
      </c>
    </row>
    <row r="36" spans="1:5" ht="12.75">
      <c r="A36" s="52" t="s">
        <v>159</v>
      </c>
      <c r="B36" s="53"/>
      <c r="C36" s="53" t="s">
        <v>496</v>
      </c>
      <c r="D36" s="29"/>
      <c r="E36" s="18">
        <f>0.9*A13*12</f>
        <v>21542.760000000002</v>
      </c>
    </row>
    <row r="37" spans="1:5" ht="12.75">
      <c r="A37" s="137" t="s">
        <v>497</v>
      </c>
      <c r="B37" s="138"/>
      <c r="C37" s="138"/>
      <c r="D37" s="29"/>
      <c r="E37" s="18">
        <f>1.24*A13*12</f>
        <v>29681.136</v>
      </c>
    </row>
    <row r="38" spans="1:5" ht="12.75">
      <c r="A38" s="35" t="s">
        <v>93</v>
      </c>
      <c r="B38" s="36"/>
      <c r="C38" s="36" t="s">
        <v>490</v>
      </c>
      <c r="D38" s="37"/>
      <c r="E38" s="8">
        <f>0.003*A13*12</f>
        <v>71.8092</v>
      </c>
    </row>
    <row r="39" spans="1:5" ht="12.75">
      <c r="A39" s="139" t="s">
        <v>279</v>
      </c>
      <c r="B39" s="140"/>
      <c r="C39" s="140"/>
      <c r="D39" s="29"/>
      <c r="E39" s="8">
        <f>E38+E37+E36+E35+E26+E20</f>
        <v>237554.1974</v>
      </c>
    </row>
    <row r="40" spans="1:5" ht="12.75">
      <c r="A40" s="141" t="s">
        <v>344</v>
      </c>
      <c r="B40" s="142"/>
      <c r="C40" s="142"/>
      <c r="D40" s="29"/>
      <c r="E40" s="19">
        <f>E39*0.06</f>
        <v>14253.251844</v>
      </c>
    </row>
    <row r="41" spans="1:5" ht="12.75">
      <c r="A41" s="139" t="s">
        <v>149</v>
      </c>
      <c r="B41" s="140"/>
      <c r="C41" s="140"/>
      <c r="D41" s="29"/>
      <c r="E41" s="8">
        <f>SUM(E39:E40)</f>
        <v>251807.44924400002</v>
      </c>
    </row>
    <row r="42" spans="1:5" ht="12.75">
      <c r="A42" s="7" t="s">
        <v>139</v>
      </c>
      <c r="B42" s="38"/>
      <c r="C42" s="39"/>
      <c r="D42" s="8" t="s">
        <v>127</v>
      </c>
      <c r="E42" s="117">
        <f>E41/A13/12</f>
        <v>10.51985466670009</v>
      </c>
    </row>
  </sheetData>
  <mergeCells count="23">
    <mergeCell ref="A41:C41"/>
    <mergeCell ref="A35:C35"/>
    <mergeCell ref="A37:C37"/>
    <mergeCell ref="A39:C39"/>
    <mergeCell ref="A40:C40"/>
    <mergeCell ref="A32:C32"/>
    <mergeCell ref="A33:C33"/>
    <mergeCell ref="A28:C28"/>
    <mergeCell ref="A29:C29"/>
    <mergeCell ref="A30:C30"/>
    <mergeCell ref="A31:C31"/>
    <mergeCell ref="A24:C24"/>
    <mergeCell ref="A25:D25"/>
    <mergeCell ref="A26:C26"/>
    <mergeCell ref="A27:C27"/>
    <mergeCell ref="A19:C19"/>
    <mergeCell ref="A21:C21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" sqref="A3:E6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6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3223.3</v>
      </c>
      <c r="B13" s="48">
        <v>246</v>
      </c>
      <c r="C13" s="48">
        <v>782</v>
      </c>
      <c r="D13" s="48"/>
      <c r="E13" s="6">
        <v>3533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7</v>
      </c>
      <c r="C15" s="157" t="s">
        <v>8</v>
      </c>
      <c r="D15" s="21"/>
      <c r="E15" s="1"/>
    </row>
    <row r="16" spans="1:5" ht="12.75">
      <c r="A16" s="181"/>
      <c r="B16" s="49" t="s">
        <v>9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63108.864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16</v>
      </c>
      <c r="B22" s="149"/>
      <c r="C22" s="149"/>
      <c r="D22" s="43"/>
      <c r="E22" s="44">
        <f>0.368*5800*1.75*1.263*12</f>
        <v>56610.6912</v>
      </c>
    </row>
    <row r="23" spans="1:5" ht="12.75">
      <c r="A23" s="143" t="s">
        <v>10</v>
      </c>
      <c r="B23" s="144"/>
      <c r="C23" s="144"/>
      <c r="D23" s="20"/>
      <c r="E23" s="25">
        <f>0.04*A13*12</f>
        <v>1547.1840000000002</v>
      </c>
    </row>
    <row r="24" spans="1:5" ht="12.75">
      <c r="A24" s="143" t="s">
        <v>11</v>
      </c>
      <c r="B24" s="144"/>
      <c r="C24" s="144"/>
      <c r="D24" s="20"/>
      <c r="E24" s="25">
        <f>0.028*A13*12</f>
        <v>1083.0288</v>
      </c>
    </row>
    <row r="25" spans="1:5" ht="12.75">
      <c r="A25" s="143" t="s">
        <v>12</v>
      </c>
      <c r="B25" s="144"/>
      <c r="C25" s="144"/>
      <c r="D25" s="136"/>
      <c r="E25" s="26">
        <f>0.1*A13*12</f>
        <v>3867.9600000000005</v>
      </c>
    </row>
    <row r="26" spans="1:5" ht="12.75">
      <c r="A26" s="131" t="s">
        <v>126</v>
      </c>
      <c r="B26" s="132"/>
      <c r="C26" s="132"/>
      <c r="D26" s="20"/>
      <c r="E26" s="18">
        <f>E27+E28+E29+E30+E31+E33+E32</f>
        <v>68426.94320000001</v>
      </c>
    </row>
    <row r="27" spans="1:5" ht="12.75">
      <c r="A27" s="143" t="s">
        <v>17</v>
      </c>
      <c r="B27" s="144"/>
      <c r="C27" s="144"/>
      <c r="D27" s="20"/>
      <c r="E27" s="25">
        <f>155*1.5*90.3</f>
        <v>20994.75</v>
      </c>
    </row>
    <row r="28" spans="1:5" ht="12.75">
      <c r="A28" s="143" t="s">
        <v>18</v>
      </c>
      <c r="B28" s="144"/>
      <c r="C28" s="144"/>
      <c r="D28" s="20"/>
      <c r="E28" s="25">
        <f>1.5*155*35.02</f>
        <v>8142.150000000001</v>
      </c>
    </row>
    <row r="29" spans="1:5" ht="12.75">
      <c r="A29" s="143" t="s">
        <v>19</v>
      </c>
      <c r="B29" s="144"/>
      <c r="C29" s="144"/>
      <c r="D29" s="20"/>
      <c r="E29" s="26">
        <f>8200*2.73</f>
        <v>22386</v>
      </c>
    </row>
    <row r="30" spans="1:5" ht="12.75">
      <c r="A30" s="143" t="s">
        <v>13</v>
      </c>
      <c r="B30" s="144"/>
      <c r="C30" s="144"/>
      <c r="D30" s="20"/>
      <c r="E30" s="25">
        <f>0.002*A13*12</f>
        <v>77.3592</v>
      </c>
    </row>
    <row r="31" spans="1:5" ht="12.75">
      <c r="A31" s="143" t="s">
        <v>14</v>
      </c>
      <c r="B31" s="144"/>
      <c r="C31" s="144"/>
      <c r="D31" s="20"/>
      <c r="E31" s="25">
        <f>0.29*A13*12</f>
        <v>11217.083999999999</v>
      </c>
    </row>
    <row r="32" spans="1:5" ht="12.75" customHeight="1">
      <c r="A32" s="143" t="s">
        <v>477</v>
      </c>
      <c r="B32" s="144"/>
      <c r="C32" s="144"/>
      <c r="D32" s="20"/>
      <c r="E32" s="25">
        <f>80*5.44+80*16.17*4</f>
        <v>5609.6</v>
      </c>
    </row>
    <row r="33" spans="1:5" ht="12.75">
      <c r="A33" s="27" t="s">
        <v>140</v>
      </c>
      <c r="B33" s="28" t="s">
        <v>162</v>
      </c>
      <c r="C33" s="28"/>
      <c r="D33" s="20"/>
      <c r="E33" s="5"/>
    </row>
    <row r="34" spans="1:5" ht="12.75">
      <c r="A34" s="145" t="s">
        <v>143</v>
      </c>
      <c r="B34" s="135"/>
      <c r="C34" s="135"/>
      <c r="D34" s="29"/>
      <c r="E34" s="8">
        <v>169460</v>
      </c>
    </row>
    <row r="35" spans="1:5" ht="12.75">
      <c r="A35" s="52" t="s">
        <v>159</v>
      </c>
      <c r="B35" s="53"/>
      <c r="C35" s="53" t="s">
        <v>20</v>
      </c>
      <c r="D35" s="29"/>
      <c r="E35" s="18">
        <f>0.9*A13*12</f>
        <v>34811.64</v>
      </c>
    </row>
    <row r="36" spans="1:5" ht="12.75">
      <c r="A36" s="137" t="s">
        <v>21</v>
      </c>
      <c r="B36" s="138"/>
      <c r="C36" s="138"/>
      <c r="D36" s="29"/>
      <c r="E36" s="18">
        <f>1.24*A13*12</f>
        <v>47962.704000000005</v>
      </c>
    </row>
    <row r="37" spans="1:5" ht="12.75">
      <c r="A37" s="35" t="s">
        <v>93</v>
      </c>
      <c r="B37" s="36"/>
      <c r="C37" s="36" t="s">
        <v>15</v>
      </c>
      <c r="D37" s="37"/>
      <c r="E37" s="8">
        <f>0.003*A13*12</f>
        <v>116.03880000000001</v>
      </c>
    </row>
    <row r="38" spans="1:5" ht="12.75">
      <c r="A38" s="139" t="s">
        <v>279</v>
      </c>
      <c r="B38" s="140"/>
      <c r="C38" s="140"/>
      <c r="D38" s="29"/>
      <c r="E38" s="8">
        <f>E37+E36+E35+E34+E26+E20</f>
        <v>383886.19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23033.1714</v>
      </c>
    </row>
    <row r="40" spans="1:5" ht="12.75">
      <c r="A40" s="139" t="s">
        <v>149</v>
      </c>
      <c r="B40" s="140"/>
      <c r="C40" s="140"/>
      <c r="D40" s="29"/>
      <c r="E40" s="8">
        <f>SUM(E38:E39)</f>
        <v>406919.3614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10.520257743099721</v>
      </c>
    </row>
    <row r="42" spans="1:5" ht="12.75">
      <c r="A42" s="10"/>
      <c r="B42" s="11"/>
      <c r="C42" s="12"/>
      <c r="D42" s="12"/>
      <c r="E42" s="1"/>
    </row>
  </sheetData>
  <mergeCells count="22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4:C34"/>
    <mergeCell ref="A28:C28"/>
    <mergeCell ref="A29:C29"/>
    <mergeCell ref="A30:C30"/>
    <mergeCell ref="A31:C31"/>
    <mergeCell ref="A36:C36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" sqref="A3:E6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26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2362.5</v>
      </c>
      <c r="B13" s="48">
        <v>244</v>
      </c>
      <c r="C13" s="48">
        <v>955.2</v>
      </c>
      <c r="D13" s="48"/>
      <c r="E13" s="6">
        <v>2598.2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27</v>
      </c>
      <c r="C15" s="157" t="s">
        <v>28</v>
      </c>
      <c r="D15" s="21"/>
      <c r="E15" s="1"/>
    </row>
    <row r="16" spans="1:5" ht="12.75">
      <c r="A16" s="181"/>
      <c r="B16" s="49" t="s">
        <v>29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65834.6598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34</v>
      </c>
      <c r="B22" s="149"/>
      <c r="C22" s="149"/>
      <c r="D22" s="43"/>
      <c r="E22" s="44">
        <f>0.397*5800*1.75*1.263*12</f>
        <v>61071.85979999999</v>
      </c>
    </row>
    <row r="23" spans="1:5" ht="12.75">
      <c r="A23" s="143" t="s">
        <v>35</v>
      </c>
      <c r="B23" s="144"/>
      <c r="C23" s="144"/>
      <c r="D23" s="20"/>
      <c r="E23" s="25">
        <f>0.04*A13*12</f>
        <v>1134</v>
      </c>
    </row>
    <row r="24" spans="1:5" ht="12.75">
      <c r="A24" s="143" t="s">
        <v>30</v>
      </c>
      <c r="B24" s="144"/>
      <c r="C24" s="144"/>
      <c r="D24" s="20"/>
      <c r="E24" s="25">
        <f>0.028*A13*12</f>
        <v>793.8000000000001</v>
      </c>
    </row>
    <row r="25" spans="1:5" ht="12.75">
      <c r="A25" s="143" t="s">
        <v>36</v>
      </c>
      <c r="B25" s="144"/>
      <c r="C25" s="144"/>
      <c r="D25" s="136"/>
      <c r="E25" s="26">
        <f>0.1*A13*12</f>
        <v>2835</v>
      </c>
    </row>
    <row r="26" spans="1:5" ht="12.75">
      <c r="A26" s="131" t="s">
        <v>126</v>
      </c>
      <c r="B26" s="132"/>
      <c r="C26" s="132"/>
      <c r="D26" s="20"/>
      <c r="E26" s="18">
        <f>E27+E28+E29+E30+E32+E34+E33+E31</f>
        <v>48039.06</v>
      </c>
    </row>
    <row r="27" spans="1:5" ht="12.75">
      <c r="A27" s="143" t="s">
        <v>37</v>
      </c>
      <c r="B27" s="144"/>
      <c r="C27" s="144"/>
      <c r="D27" s="20"/>
      <c r="E27" s="25">
        <f>97*1.5*90.3</f>
        <v>13138.65</v>
      </c>
    </row>
    <row r="28" spans="1:5" ht="12.75">
      <c r="A28" s="143" t="s">
        <v>38</v>
      </c>
      <c r="B28" s="144"/>
      <c r="C28" s="144"/>
      <c r="D28" s="20"/>
      <c r="E28" s="25">
        <f>1.5*97*35.02</f>
        <v>5095.410000000001</v>
      </c>
    </row>
    <row r="29" spans="1:5" ht="12.75">
      <c r="A29" s="143" t="s">
        <v>39</v>
      </c>
      <c r="B29" s="144"/>
      <c r="C29" s="144"/>
      <c r="D29" s="20"/>
      <c r="E29" s="26">
        <f>7400*2.73</f>
        <v>20202</v>
      </c>
    </row>
    <row r="30" spans="1:5" ht="12.75">
      <c r="A30" s="143" t="s">
        <v>31</v>
      </c>
      <c r="B30" s="144"/>
      <c r="C30" s="144"/>
      <c r="D30" s="20"/>
      <c r="E30" s="25">
        <f>0.002*A13*12</f>
        <v>56.7</v>
      </c>
    </row>
    <row r="31" spans="1:5" ht="12.75">
      <c r="A31" s="143" t="s">
        <v>40</v>
      </c>
      <c r="B31" s="144"/>
      <c r="C31" s="144"/>
      <c r="D31" s="20"/>
      <c r="E31" s="25">
        <f>1.44*750</f>
        <v>1080</v>
      </c>
    </row>
    <row r="32" spans="1:5" ht="12.75">
      <c r="A32" s="143" t="s">
        <v>32</v>
      </c>
      <c r="B32" s="144"/>
      <c r="C32" s="144"/>
      <c r="D32" s="20"/>
      <c r="E32" s="25">
        <f>0.29*A13*12</f>
        <v>8221.5</v>
      </c>
    </row>
    <row r="33" spans="1:5" ht="12.75" customHeight="1">
      <c r="A33" s="143" t="s">
        <v>41</v>
      </c>
      <c r="B33" s="144"/>
      <c r="C33" s="144"/>
      <c r="D33" s="20"/>
      <c r="E33" s="25">
        <f>45*5.44</f>
        <v>244.8</v>
      </c>
    </row>
    <row r="34" spans="1:5" ht="12.75">
      <c r="A34" s="27" t="s">
        <v>140</v>
      </c>
      <c r="B34" s="28" t="s">
        <v>162</v>
      </c>
      <c r="C34" s="28"/>
      <c r="D34" s="20"/>
      <c r="E34" s="5"/>
    </row>
    <row r="35" spans="1:5" ht="12.75">
      <c r="A35" s="145" t="s">
        <v>143</v>
      </c>
      <c r="B35" s="135"/>
      <c r="C35" s="135"/>
      <c r="D35" s="29"/>
      <c r="E35" s="8">
        <v>106731</v>
      </c>
    </row>
    <row r="36" spans="1:5" ht="12.75">
      <c r="A36" s="52" t="s">
        <v>159</v>
      </c>
      <c r="B36" s="53"/>
      <c r="C36" s="53" t="s">
        <v>42</v>
      </c>
      <c r="D36" s="29"/>
      <c r="E36" s="18">
        <f>0.9*A13*12</f>
        <v>25515</v>
      </c>
    </row>
    <row r="37" spans="1:5" ht="12.75">
      <c r="A37" s="137" t="s">
        <v>43</v>
      </c>
      <c r="B37" s="138"/>
      <c r="C37" s="138"/>
      <c r="D37" s="29"/>
      <c r="E37" s="18">
        <f>1.24*A13*12</f>
        <v>35154</v>
      </c>
    </row>
    <row r="38" spans="1:5" ht="12.75">
      <c r="A38" s="35" t="s">
        <v>93</v>
      </c>
      <c r="B38" s="36"/>
      <c r="C38" s="36" t="s">
        <v>33</v>
      </c>
      <c r="D38" s="37"/>
      <c r="E38" s="8">
        <f>0.003*A13*12</f>
        <v>85.05000000000001</v>
      </c>
    </row>
    <row r="39" spans="1:5" ht="12.75">
      <c r="A39" s="139" t="s">
        <v>279</v>
      </c>
      <c r="B39" s="140"/>
      <c r="C39" s="140"/>
      <c r="D39" s="29"/>
      <c r="E39" s="8">
        <f>E38+E37+E36+E35+E26+E20</f>
        <v>281358.7698</v>
      </c>
    </row>
    <row r="40" spans="1:5" ht="12.75" customHeight="1">
      <c r="A40" s="141" t="s">
        <v>344</v>
      </c>
      <c r="B40" s="142"/>
      <c r="C40" s="142"/>
      <c r="D40" s="29"/>
      <c r="E40" s="19">
        <f>E39*0.06</f>
        <v>16881.526188</v>
      </c>
    </row>
    <row r="41" spans="1:5" ht="12.75">
      <c r="A41" s="139" t="s">
        <v>149</v>
      </c>
      <c r="B41" s="140"/>
      <c r="C41" s="140"/>
      <c r="D41" s="29"/>
      <c r="E41" s="8">
        <f>SUM(E39:E40)</f>
        <v>298240.295988</v>
      </c>
    </row>
    <row r="42" spans="1:5" ht="12.75">
      <c r="A42" s="7" t="s">
        <v>139</v>
      </c>
      <c r="B42" s="38"/>
      <c r="C42" s="39"/>
      <c r="D42" s="8" t="s">
        <v>127</v>
      </c>
      <c r="E42" s="117">
        <f>E41/A13/12</f>
        <v>10.519939893756613</v>
      </c>
    </row>
    <row r="43" spans="1:5" ht="12.75">
      <c r="A43" s="10"/>
      <c r="B43" s="11"/>
      <c r="C43" s="12"/>
      <c r="D43" s="12"/>
      <c r="E43" s="1"/>
    </row>
  </sheetData>
  <mergeCells count="23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3:C33"/>
    <mergeCell ref="A28:C28"/>
    <mergeCell ref="A29:C29"/>
    <mergeCell ref="A30:C30"/>
    <mergeCell ref="A31:C31"/>
    <mergeCell ref="A41:C41"/>
    <mergeCell ref="A35:C35"/>
    <mergeCell ref="A37:C37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37" sqref="J37"/>
    </sheetView>
  </sheetViews>
  <sheetFormatPr defaultColWidth="9.00390625" defaultRowHeight="12.75"/>
  <cols>
    <col min="1" max="1" width="16.875" style="0" customWidth="1"/>
    <col min="2" max="2" width="18.00390625" style="0" customWidth="1"/>
    <col min="3" max="3" width="17.00390625" style="0" customWidth="1"/>
    <col min="4" max="4" width="15.75390625" style="0" customWidth="1"/>
    <col min="5" max="5" width="11.875" style="0" customWidth="1"/>
  </cols>
  <sheetData>
    <row r="1" spans="3:4" ht="15">
      <c r="C1" s="54" t="s">
        <v>142</v>
      </c>
      <c r="D1" s="54"/>
    </row>
    <row r="2" spans="3:4" ht="15">
      <c r="C2" s="54" t="s">
        <v>183</v>
      </c>
      <c r="D2" s="54"/>
    </row>
    <row r="3" spans="3:4" ht="15">
      <c r="C3" s="54" t="s">
        <v>74</v>
      </c>
      <c r="D3" s="54"/>
    </row>
    <row r="6" spans="1:5" ht="15.75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575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52" t="s">
        <v>131</v>
      </c>
      <c r="B10" s="153"/>
      <c r="C10" s="153"/>
      <c r="D10" s="153"/>
      <c r="E10" s="154"/>
    </row>
    <row r="11" spans="1: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</row>
    <row r="12" spans="1:5" ht="14.25">
      <c r="A12" s="50">
        <v>3397.2</v>
      </c>
      <c r="B12" s="48">
        <v>270</v>
      </c>
      <c r="C12" s="48">
        <v>890</v>
      </c>
      <c r="D12" s="48">
        <v>0</v>
      </c>
      <c r="E12" s="6">
        <v>2548.5</v>
      </c>
    </row>
    <row r="13" spans="1:5" ht="14.25">
      <c r="A13" s="3"/>
      <c r="B13" s="1"/>
      <c r="C13" s="1"/>
      <c r="D13" s="1"/>
      <c r="E13" s="1"/>
    </row>
    <row r="14" spans="1:5" ht="12.75">
      <c r="A14" s="155" t="s">
        <v>136</v>
      </c>
      <c r="B14" s="49" t="s">
        <v>576</v>
      </c>
      <c r="C14" s="157" t="s">
        <v>577</v>
      </c>
      <c r="D14" s="21"/>
      <c r="E14" s="1"/>
    </row>
    <row r="15" spans="1:5" ht="12.75">
      <c r="A15" s="181"/>
      <c r="B15" s="49" t="s">
        <v>578</v>
      </c>
      <c r="C15" s="18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3" t="s">
        <v>124</v>
      </c>
      <c r="B17" s="134"/>
      <c r="C17" s="134"/>
      <c r="D17" s="46"/>
      <c r="E17" s="47" t="s">
        <v>128</v>
      </c>
    </row>
    <row r="18" spans="1:5" ht="12.75">
      <c r="A18" s="40" t="s">
        <v>125</v>
      </c>
      <c r="B18" s="41"/>
      <c r="C18" s="41"/>
      <c r="D18" s="42"/>
      <c r="E18" s="23">
        <f>E20+E21+E22+E23</f>
        <v>64536.280199999994</v>
      </c>
    </row>
    <row r="19" spans="1:5" ht="12.75">
      <c r="A19" s="146" t="s">
        <v>137</v>
      </c>
      <c r="B19" s="147"/>
      <c r="C19" s="147"/>
      <c r="D19" s="45"/>
      <c r="E19" s="20"/>
    </row>
    <row r="20" spans="1:5" ht="12.75">
      <c r="A20" s="148" t="s">
        <v>583</v>
      </c>
      <c r="B20" s="149"/>
      <c r="C20" s="149"/>
      <c r="D20" s="43"/>
      <c r="E20" s="44">
        <f>0.375*5800*1.75*1.263*12</f>
        <v>57687.524999999994</v>
      </c>
    </row>
    <row r="21" spans="1:5" ht="12.75">
      <c r="A21" s="143" t="s">
        <v>584</v>
      </c>
      <c r="B21" s="144"/>
      <c r="C21" s="144"/>
      <c r="D21" s="20"/>
      <c r="E21" s="25">
        <f>0.04*A12*12</f>
        <v>1630.656</v>
      </c>
    </row>
    <row r="22" spans="1:5" ht="12.75">
      <c r="A22" s="143" t="s">
        <v>579</v>
      </c>
      <c r="B22" s="144"/>
      <c r="C22" s="144"/>
      <c r="D22" s="20"/>
      <c r="E22" s="25">
        <f>0.028*A12*12</f>
        <v>1141.4592</v>
      </c>
    </row>
    <row r="23" spans="1:5" ht="12.75">
      <c r="A23" s="143" t="s">
        <v>585</v>
      </c>
      <c r="B23" s="144"/>
      <c r="C23" s="144"/>
      <c r="D23" s="136"/>
      <c r="E23" s="26">
        <f>0.1*A12*12</f>
        <v>4076.6400000000003</v>
      </c>
    </row>
    <row r="24" spans="1:5" ht="12.75">
      <c r="A24" s="131" t="s">
        <v>126</v>
      </c>
      <c r="B24" s="132"/>
      <c r="C24" s="132"/>
      <c r="D24" s="20"/>
      <c r="E24" s="18">
        <f>E25+E26+E27+E28+E29+E30+E31</f>
        <v>68630.7088</v>
      </c>
    </row>
    <row r="25" spans="1:5" ht="12.75">
      <c r="A25" s="143" t="s">
        <v>586</v>
      </c>
      <c r="B25" s="144"/>
      <c r="C25" s="144"/>
      <c r="D25" s="20"/>
      <c r="E25" s="25">
        <f>174*1.5*90.3</f>
        <v>23568.3</v>
      </c>
    </row>
    <row r="26" spans="1:5" ht="12.75">
      <c r="A26" s="143" t="s">
        <v>587</v>
      </c>
      <c r="B26" s="144"/>
      <c r="C26" s="144"/>
      <c r="D26" s="20"/>
      <c r="E26" s="25">
        <f>174*1.5*35.02</f>
        <v>9140.220000000001</v>
      </c>
    </row>
    <row r="27" spans="1:5" ht="12.75">
      <c r="A27" s="143" t="s">
        <v>588</v>
      </c>
      <c r="B27" s="144"/>
      <c r="C27" s="144"/>
      <c r="D27" s="20"/>
      <c r="E27" s="26">
        <f>7000*2.73</f>
        <v>19110</v>
      </c>
    </row>
    <row r="28" spans="1:5" ht="12.75">
      <c r="A28" s="143" t="s">
        <v>580</v>
      </c>
      <c r="B28" s="144"/>
      <c r="C28" s="144"/>
      <c r="D28" s="20"/>
      <c r="E28" s="25">
        <f>0.002*A12*12</f>
        <v>81.5328</v>
      </c>
    </row>
    <row r="29" spans="1:5" ht="12.75">
      <c r="A29" s="143" t="s">
        <v>581</v>
      </c>
      <c r="B29" s="144"/>
      <c r="C29" s="144"/>
      <c r="D29" s="20"/>
      <c r="E29" s="25">
        <f>0.29*A12*12</f>
        <v>11822.255999999998</v>
      </c>
    </row>
    <row r="30" spans="1:5" ht="12.75">
      <c r="A30" s="143" t="s">
        <v>233</v>
      </c>
      <c r="B30" s="144"/>
      <c r="C30" s="144"/>
      <c r="D30" s="20"/>
      <c r="E30" s="26">
        <f>70*5.44+(70*16.17*4)</f>
        <v>4908.400000000001</v>
      </c>
    </row>
    <row r="31" spans="1:5" ht="14.25" customHeight="1">
      <c r="A31" s="27" t="s">
        <v>140</v>
      </c>
      <c r="B31" s="28" t="s">
        <v>162</v>
      </c>
      <c r="C31" s="28"/>
      <c r="D31" s="20"/>
      <c r="E31" s="5"/>
    </row>
    <row r="32" spans="1:5" ht="12.75">
      <c r="A32" s="145" t="s">
        <v>143</v>
      </c>
      <c r="B32" s="135"/>
      <c r="C32" s="135"/>
      <c r="D32" s="29"/>
      <c r="E32" s="8">
        <v>184040</v>
      </c>
    </row>
    <row r="33" spans="1:5" ht="12.75">
      <c r="A33" s="52" t="s">
        <v>159</v>
      </c>
      <c r="B33" s="53"/>
      <c r="C33" s="53" t="s">
        <v>589</v>
      </c>
      <c r="D33" s="29"/>
      <c r="E33" s="18">
        <f>0.9*A12*12</f>
        <v>36689.76</v>
      </c>
    </row>
    <row r="34" spans="1:5" ht="17.25" customHeight="1">
      <c r="A34" s="182" t="s">
        <v>236</v>
      </c>
      <c r="B34" s="183"/>
      <c r="C34" s="106" t="s">
        <v>590</v>
      </c>
      <c r="D34" s="29"/>
      <c r="E34" s="18">
        <f>1.24*A12*12</f>
        <v>50550.335999999996</v>
      </c>
    </row>
    <row r="35" spans="1:5" ht="12.75">
      <c r="A35" s="35" t="s">
        <v>146</v>
      </c>
      <c r="B35" s="36"/>
      <c r="C35" s="36" t="s">
        <v>582</v>
      </c>
      <c r="D35" s="37"/>
      <c r="E35" s="8">
        <f>0.003*A12*12</f>
        <v>122.29919999999998</v>
      </c>
    </row>
    <row r="36" spans="1:5" ht="12.75">
      <c r="A36" s="139" t="s">
        <v>147</v>
      </c>
      <c r="B36" s="140"/>
      <c r="C36" s="140"/>
      <c r="D36" s="29"/>
      <c r="E36" s="8">
        <f>E35+E34+E33+E32+E24+E18</f>
        <v>404569.38420000003</v>
      </c>
    </row>
    <row r="37" spans="1:5" ht="12.75">
      <c r="A37" s="141" t="s">
        <v>323</v>
      </c>
      <c r="B37" s="142"/>
      <c r="C37" s="142"/>
      <c r="D37" s="29"/>
      <c r="E37" s="19">
        <f>E36*0.06</f>
        <v>24274.163052</v>
      </c>
    </row>
    <row r="38" spans="1:5" ht="12.75">
      <c r="A38" s="139" t="s">
        <v>149</v>
      </c>
      <c r="B38" s="140"/>
      <c r="C38" s="140"/>
      <c r="D38" s="29"/>
      <c r="E38" s="8">
        <f>SUM(E36:E37)</f>
        <v>428843.547252</v>
      </c>
    </row>
    <row r="39" spans="1:5" ht="12.75">
      <c r="A39" s="7" t="s">
        <v>139</v>
      </c>
      <c r="B39" s="38"/>
      <c r="C39" s="39"/>
      <c r="D39" s="8" t="s">
        <v>127</v>
      </c>
      <c r="E39" s="117">
        <f>E38/A12/12</f>
        <v>10.519534402154717</v>
      </c>
    </row>
    <row r="40" spans="1:5" ht="12.75">
      <c r="A40" s="10"/>
      <c r="B40" s="11"/>
      <c r="C40" s="12"/>
      <c r="D40" s="12"/>
      <c r="E40" s="1"/>
    </row>
  </sheetData>
  <mergeCells count="22">
    <mergeCell ref="A34:B34"/>
    <mergeCell ref="A36:C36"/>
    <mergeCell ref="A37:C37"/>
    <mergeCell ref="A38:C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H39" sqref="H39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22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3286.1</v>
      </c>
      <c r="B13" s="48">
        <v>248.5</v>
      </c>
      <c r="C13" s="48">
        <v>531</v>
      </c>
      <c r="D13" s="48"/>
      <c r="E13" s="6">
        <v>516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23</v>
      </c>
      <c r="C15" s="157" t="s">
        <v>24</v>
      </c>
      <c r="D15" s="21"/>
      <c r="E15" s="1"/>
    </row>
    <row r="16" spans="1:5" ht="12.75">
      <c r="A16" s="181"/>
      <c r="B16" s="49" t="s">
        <v>25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35422.39008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44</v>
      </c>
      <c r="B22" s="149"/>
      <c r="C22" s="149"/>
      <c r="D22" s="43"/>
      <c r="E22" s="44">
        <f>0.1872*5800*1.75*1.263*12</f>
        <v>28797.612479999996</v>
      </c>
    </row>
    <row r="23" spans="1:5" ht="12.75">
      <c r="A23" s="143" t="s">
        <v>48</v>
      </c>
      <c r="B23" s="144"/>
      <c r="C23" s="144"/>
      <c r="D23" s="20"/>
      <c r="E23" s="25">
        <f>0.04*A13*12</f>
        <v>1577.328</v>
      </c>
    </row>
    <row r="24" spans="1:5" ht="12.75">
      <c r="A24" s="143" t="s">
        <v>49</v>
      </c>
      <c r="B24" s="144"/>
      <c r="C24" s="144"/>
      <c r="D24" s="20"/>
      <c r="E24" s="25">
        <f>0.028*A13*12</f>
        <v>1104.1296</v>
      </c>
    </row>
    <row r="25" spans="1:5" ht="12.75">
      <c r="A25" s="143" t="s">
        <v>50</v>
      </c>
      <c r="B25" s="144"/>
      <c r="C25" s="144"/>
      <c r="D25" s="136"/>
      <c r="E25" s="26">
        <f>0.1*A13*12</f>
        <v>3943.32</v>
      </c>
    </row>
    <row r="26" spans="1:5" ht="12.75">
      <c r="A26" s="131" t="s">
        <v>126</v>
      </c>
      <c r="B26" s="132"/>
      <c r="C26" s="132"/>
      <c r="D26" s="20"/>
      <c r="E26" s="18">
        <f>E27+E28+E29+E30+E31+E33+E32</f>
        <v>60715.6544</v>
      </c>
    </row>
    <row r="27" spans="1:5" ht="12.75">
      <c r="A27" s="143" t="s">
        <v>45</v>
      </c>
      <c r="B27" s="144"/>
      <c r="C27" s="144"/>
      <c r="D27" s="20"/>
      <c r="E27" s="26">
        <f>132*1.5*90.3</f>
        <v>17879.399999999998</v>
      </c>
    </row>
    <row r="28" spans="1:5" ht="12.75">
      <c r="A28" s="143" t="s">
        <v>46</v>
      </c>
      <c r="B28" s="144"/>
      <c r="C28" s="144"/>
      <c r="D28" s="20"/>
      <c r="E28" s="25">
        <f>1.5*132*35.02</f>
        <v>6933.960000000001</v>
      </c>
    </row>
    <row r="29" spans="1:5" ht="12.75">
      <c r="A29" s="143" t="s">
        <v>47</v>
      </c>
      <c r="B29" s="144"/>
      <c r="C29" s="144"/>
      <c r="D29" s="20"/>
      <c r="E29" s="26">
        <f>8300*2.73</f>
        <v>22659</v>
      </c>
    </row>
    <row r="30" spans="1:5" ht="12.75">
      <c r="A30" s="143" t="s">
        <v>51</v>
      </c>
      <c r="B30" s="144"/>
      <c r="C30" s="144"/>
      <c r="D30" s="20"/>
      <c r="E30" s="25">
        <f>0.002*A13*12</f>
        <v>78.8664</v>
      </c>
    </row>
    <row r="31" spans="1:5" ht="12.75">
      <c r="A31" s="143" t="s">
        <v>52</v>
      </c>
      <c r="B31" s="144"/>
      <c r="C31" s="144"/>
      <c r="D31" s="20"/>
      <c r="E31" s="25">
        <f>0.29*A13*12</f>
        <v>11435.627999999999</v>
      </c>
    </row>
    <row r="32" spans="1:5" ht="12.75" customHeight="1">
      <c r="A32" s="143" t="s">
        <v>250</v>
      </c>
      <c r="B32" s="144"/>
      <c r="C32" s="144"/>
      <c r="D32" s="20"/>
      <c r="E32" s="25">
        <f>80*5.44+80*16.17</f>
        <v>1728.8000000000002</v>
      </c>
    </row>
    <row r="33" spans="1:5" ht="12.75">
      <c r="A33" s="27" t="s">
        <v>140</v>
      </c>
      <c r="B33" s="28" t="s">
        <v>162</v>
      </c>
      <c r="C33" s="28"/>
      <c r="D33" s="20"/>
      <c r="E33" s="5"/>
    </row>
    <row r="34" spans="1:5" ht="12.75">
      <c r="A34" s="145" t="s">
        <v>143</v>
      </c>
      <c r="B34" s="135"/>
      <c r="C34" s="135"/>
      <c r="D34" s="29"/>
      <c r="E34" s="8">
        <v>210730</v>
      </c>
    </row>
    <row r="35" spans="1:5" ht="12.75">
      <c r="A35" s="52" t="s">
        <v>159</v>
      </c>
      <c r="B35" s="53"/>
      <c r="C35" s="53" t="s">
        <v>53</v>
      </c>
      <c r="D35" s="29"/>
      <c r="E35" s="18">
        <f>0.9*A13*12</f>
        <v>35489.88</v>
      </c>
    </row>
    <row r="36" spans="1:5" ht="12.75">
      <c r="A36" s="137" t="s">
        <v>54</v>
      </c>
      <c r="B36" s="138"/>
      <c r="C36" s="138"/>
      <c r="D36" s="29"/>
      <c r="E36" s="18">
        <f>1.24*A13*12</f>
        <v>48897.168</v>
      </c>
    </row>
    <row r="37" spans="1:5" ht="12.75">
      <c r="A37" s="35" t="s">
        <v>93</v>
      </c>
      <c r="B37" s="36"/>
      <c r="C37" s="36" t="s">
        <v>55</v>
      </c>
      <c r="D37" s="37"/>
      <c r="E37" s="8">
        <f>0.003*A13*12</f>
        <v>118.2996</v>
      </c>
    </row>
    <row r="38" spans="1:5" ht="12.75">
      <c r="A38" s="139" t="s">
        <v>279</v>
      </c>
      <c r="B38" s="140"/>
      <c r="C38" s="140"/>
      <c r="D38" s="29"/>
      <c r="E38" s="8">
        <f>E37+E36+E35+E34+E26+E20</f>
        <v>391373.39207999996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23482.403524799996</v>
      </c>
    </row>
    <row r="40" spans="1:5" ht="12.75">
      <c r="A40" s="139" t="s">
        <v>149</v>
      </c>
      <c r="B40" s="140"/>
      <c r="C40" s="140"/>
      <c r="D40" s="29"/>
      <c r="E40" s="8">
        <f>SUM(E38:E39)</f>
        <v>414855.79560479993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10.520469949301601</v>
      </c>
    </row>
    <row r="42" spans="1:5" ht="12.75">
      <c r="A42" s="10"/>
      <c r="B42" s="11"/>
      <c r="C42" s="12"/>
      <c r="D42" s="12"/>
      <c r="E42" s="1"/>
    </row>
  </sheetData>
  <mergeCells count="22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4:C34"/>
    <mergeCell ref="A28:C28"/>
    <mergeCell ref="A29:C29"/>
    <mergeCell ref="A30:C30"/>
    <mergeCell ref="A31:C31"/>
    <mergeCell ref="A36:C36"/>
    <mergeCell ref="A38:C38"/>
    <mergeCell ref="A39:C39"/>
    <mergeCell ref="A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73</v>
      </c>
      <c r="D2" s="54"/>
    </row>
    <row r="3" spans="3:4" ht="15">
      <c r="C3" s="54" t="s">
        <v>359</v>
      </c>
      <c r="D3" s="54"/>
    </row>
    <row r="6" spans="1:5" ht="21" customHeight="1">
      <c r="A6" s="179" t="s">
        <v>154</v>
      </c>
      <c r="B6" s="180"/>
      <c r="C6" s="180"/>
      <c r="D6" s="180"/>
      <c r="E6" s="180"/>
    </row>
    <row r="7" spans="1:5" ht="15.75">
      <c r="A7" s="2" t="s">
        <v>127</v>
      </c>
      <c r="B7" s="2"/>
      <c r="C7" s="1"/>
      <c r="D7" s="1"/>
      <c r="E7" s="1"/>
    </row>
    <row r="8" spans="1:5" ht="14.25">
      <c r="A8" s="3" t="s">
        <v>56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52" t="s">
        <v>131</v>
      </c>
      <c r="B11" s="153"/>
      <c r="C11" s="153"/>
      <c r="D11" s="153"/>
      <c r="E11" s="154"/>
    </row>
    <row r="12" spans="1:5" ht="12.75">
      <c r="A12" s="17" t="s">
        <v>132</v>
      </c>
      <c r="B12" s="17" t="s">
        <v>133</v>
      </c>
      <c r="C12" s="17" t="s">
        <v>134</v>
      </c>
      <c r="D12" s="17" t="s">
        <v>135</v>
      </c>
      <c r="E12" s="17" t="s">
        <v>129</v>
      </c>
    </row>
    <row r="13" spans="1:5" ht="14.25">
      <c r="A13" s="50">
        <v>3216.3</v>
      </c>
      <c r="B13" s="48">
        <v>242</v>
      </c>
      <c r="C13" s="48">
        <v>691</v>
      </c>
      <c r="D13" s="48"/>
      <c r="E13" s="6">
        <v>2356</v>
      </c>
    </row>
    <row r="14" spans="1:5" ht="14.25">
      <c r="A14" s="3"/>
      <c r="B14" s="1"/>
      <c r="C14" s="1"/>
      <c r="D14" s="1"/>
      <c r="E14" s="1"/>
    </row>
    <row r="15" spans="1:5" ht="12.75">
      <c r="A15" s="155" t="s">
        <v>136</v>
      </c>
      <c r="B15" s="49" t="s">
        <v>57</v>
      </c>
      <c r="C15" s="157" t="s">
        <v>58</v>
      </c>
      <c r="D15" s="21"/>
      <c r="E15" s="1"/>
    </row>
    <row r="16" spans="1:5" ht="12.75">
      <c r="A16" s="181"/>
      <c r="B16" s="49" t="s">
        <v>59</v>
      </c>
      <c r="C16" s="181"/>
      <c r="D16" s="1"/>
      <c r="E16" s="1"/>
    </row>
    <row r="17" spans="1:5" ht="12.75">
      <c r="A17" s="77"/>
      <c r="B17" s="74"/>
      <c r="C17" s="77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3" t="s">
        <v>124</v>
      </c>
      <c r="B19" s="134"/>
      <c r="C19" s="134"/>
      <c r="D19" s="46"/>
      <c r="E19" s="47" t="s">
        <v>128</v>
      </c>
    </row>
    <row r="20" spans="1:5" ht="12.75">
      <c r="A20" s="40" t="s">
        <v>125</v>
      </c>
      <c r="B20" s="41"/>
      <c r="C20" s="41"/>
      <c r="D20" s="42"/>
      <c r="E20" s="23">
        <f>E22+E23+E24+E25</f>
        <v>52326.414</v>
      </c>
    </row>
    <row r="21" spans="1:5" ht="12.75">
      <c r="A21" s="146" t="s">
        <v>137</v>
      </c>
      <c r="B21" s="147"/>
      <c r="C21" s="147"/>
      <c r="D21" s="45"/>
      <c r="E21" s="20"/>
    </row>
    <row r="22" spans="1:5" ht="12.75">
      <c r="A22" s="148" t="s">
        <v>66</v>
      </c>
      <c r="B22" s="149"/>
      <c r="C22" s="149"/>
      <c r="D22" s="43"/>
      <c r="E22" s="44">
        <f>0.298*5800*1.75*1.263*12</f>
        <v>45842.3532</v>
      </c>
    </row>
    <row r="23" spans="1:5" ht="12.75">
      <c r="A23" s="143" t="s">
        <v>64</v>
      </c>
      <c r="B23" s="144"/>
      <c r="C23" s="144"/>
      <c r="D23" s="20"/>
      <c r="E23" s="25">
        <f>0.04*A13*12</f>
        <v>1543.824</v>
      </c>
    </row>
    <row r="24" spans="1:5" ht="12.75">
      <c r="A24" s="143" t="s">
        <v>60</v>
      </c>
      <c r="B24" s="144"/>
      <c r="C24" s="144"/>
      <c r="D24" s="20"/>
      <c r="E24" s="25">
        <f>0.028*A13*12</f>
        <v>1080.6768000000002</v>
      </c>
    </row>
    <row r="25" spans="1:5" ht="12.75">
      <c r="A25" s="143" t="s">
        <v>65</v>
      </c>
      <c r="B25" s="144"/>
      <c r="C25" s="144"/>
      <c r="D25" s="136"/>
      <c r="E25" s="26">
        <f>0.1*A13*12</f>
        <v>3859.5600000000004</v>
      </c>
    </row>
    <row r="26" spans="1:5" ht="12.75">
      <c r="A26" s="131" t="s">
        <v>126</v>
      </c>
      <c r="B26" s="132"/>
      <c r="C26" s="132"/>
      <c r="D26" s="20"/>
      <c r="E26" s="18">
        <f>E27+E28+E29+E30+E31+E33+E32</f>
        <v>72192.94520000002</v>
      </c>
    </row>
    <row r="27" spans="1:5" ht="12.75">
      <c r="A27" s="143" t="s">
        <v>67</v>
      </c>
      <c r="B27" s="144"/>
      <c r="C27" s="144"/>
      <c r="D27" s="20"/>
      <c r="E27" s="25">
        <f>138*1.5*90.3</f>
        <v>18692.1</v>
      </c>
    </row>
    <row r="28" spans="1:5" ht="12.75">
      <c r="A28" s="143" t="s">
        <v>68</v>
      </c>
      <c r="B28" s="144"/>
      <c r="C28" s="144"/>
      <c r="D28" s="20"/>
      <c r="E28" s="25">
        <f>1.5*161*35.02</f>
        <v>8457.33</v>
      </c>
    </row>
    <row r="29" spans="1:5" ht="12.75">
      <c r="A29" s="143" t="s">
        <v>69</v>
      </c>
      <c r="B29" s="144"/>
      <c r="C29" s="144"/>
      <c r="D29" s="20"/>
      <c r="E29" s="26">
        <f>6800*2.73</f>
        <v>18564</v>
      </c>
    </row>
    <row r="30" spans="1:5" ht="12.75">
      <c r="A30" s="143" t="s">
        <v>61</v>
      </c>
      <c r="B30" s="144"/>
      <c r="C30" s="144"/>
      <c r="D30" s="20"/>
      <c r="E30" s="25">
        <f>0.002*A13*12</f>
        <v>77.19120000000001</v>
      </c>
    </row>
    <row r="31" spans="1:5" ht="12.75">
      <c r="A31" s="143" t="s">
        <v>62</v>
      </c>
      <c r="B31" s="144"/>
      <c r="C31" s="144"/>
      <c r="D31" s="20"/>
      <c r="E31" s="25">
        <f>0.29*A13*12</f>
        <v>11192.724</v>
      </c>
    </row>
    <row r="32" spans="1:5" ht="12.75" customHeight="1">
      <c r="A32" s="143" t="s">
        <v>477</v>
      </c>
      <c r="B32" s="144"/>
      <c r="C32" s="144"/>
      <c r="D32" s="20"/>
      <c r="E32" s="25">
        <f>80*5.44+80*16.17*4</f>
        <v>5609.6</v>
      </c>
    </row>
    <row r="33" spans="1:5" ht="12.75">
      <c r="A33" s="27" t="s">
        <v>140</v>
      </c>
      <c r="B33" s="28" t="s">
        <v>75</v>
      </c>
      <c r="C33" s="28"/>
      <c r="D33" s="20"/>
      <c r="E33" s="5">
        <f>80*120</f>
        <v>9600</v>
      </c>
    </row>
    <row r="34" spans="1:5" ht="12.75">
      <c r="A34" s="145" t="s">
        <v>143</v>
      </c>
      <c r="B34" s="135"/>
      <c r="C34" s="135"/>
      <c r="D34" s="29"/>
      <c r="E34" s="8">
        <v>175815</v>
      </c>
    </row>
    <row r="35" spans="1:5" ht="12.75">
      <c r="A35" s="52" t="s">
        <v>159</v>
      </c>
      <c r="B35" s="53"/>
      <c r="C35" s="53" t="s">
        <v>70</v>
      </c>
      <c r="D35" s="29"/>
      <c r="E35" s="18">
        <f>0.9*A13*12</f>
        <v>34736.04</v>
      </c>
    </row>
    <row r="36" spans="1:5" ht="12.75">
      <c r="A36" s="137" t="s">
        <v>71</v>
      </c>
      <c r="B36" s="138"/>
      <c r="C36" s="138"/>
      <c r="D36" s="29"/>
      <c r="E36" s="18">
        <f>1.24*A13*12</f>
        <v>47858.544</v>
      </c>
    </row>
    <row r="37" spans="1:5" ht="12.75">
      <c r="A37" s="35" t="s">
        <v>93</v>
      </c>
      <c r="B37" s="36"/>
      <c r="C37" s="36" t="s">
        <v>63</v>
      </c>
      <c r="D37" s="37"/>
      <c r="E37" s="8">
        <f>0.003*A13*12</f>
        <v>115.78680000000001</v>
      </c>
    </row>
    <row r="38" spans="1:5" ht="12.75">
      <c r="A38" s="139" t="s">
        <v>279</v>
      </c>
      <c r="B38" s="140"/>
      <c r="C38" s="140"/>
      <c r="D38" s="29"/>
      <c r="E38" s="8">
        <f>E37+E36+E35+E34+E26+E20</f>
        <v>383044.73</v>
      </c>
    </row>
    <row r="39" spans="1:5" ht="12.75" customHeight="1">
      <c r="A39" s="141" t="s">
        <v>344</v>
      </c>
      <c r="B39" s="142"/>
      <c r="C39" s="142"/>
      <c r="D39" s="29"/>
      <c r="E39" s="19">
        <f>E38*0.06</f>
        <v>22982.6838</v>
      </c>
    </row>
    <row r="40" spans="1:5" ht="12.75">
      <c r="A40" s="139" t="s">
        <v>149</v>
      </c>
      <c r="B40" s="140"/>
      <c r="C40" s="140"/>
      <c r="D40" s="29"/>
      <c r="E40" s="8">
        <f>SUM(E38:E39)</f>
        <v>406027.4138</v>
      </c>
    </row>
    <row r="41" spans="1:5" ht="12.75">
      <c r="A41" s="7" t="s">
        <v>139</v>
      </c>
      <c r="B41" s="38"/>
      <c r="C41" s="39"/>
      <c r="D41" s="8" t="s">
        <v>127</v>
      </c>
      <c r="E41" s="117">
        <f>E40/A13/12</f>
        <v>10.520044093109059</v>
      </c>
    </row>
    <row r="42" spans="1:5" ht="12.75">
      <c r="A42" s="10"/>
      <c r="B42" s="11"/>
      <c r="C42" s="12"/>
      <c r="D42" s="12"/>
      <c r="E42" s="1"/>
    </row>
  </sheetData>
  <mergeCells count="22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4:C34"/>
    <mergeCell ref="A28:C28"/>
    <mergeCell ref="A29:C29"/>
    <mergeCell ref="A30:C30"/>
    <mergeCell ref="A31:C31"/>
    <mergeCell ref="A36:C36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C38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5.125" style="0" customWidth="1"/>
    <col min="2" max="2" width="56.625" style="0" customWidth="1"/>
    <col min="3" max="3" width="10.375" style="0" customWidth="1"/>
  </cols>
  <sheetData>
    <row r="3" ht="15">
      <c r="B3" s="68" t="s">
        <v>189</v>
      </c>
    </row>
    <row r="4" ht="15">
      <c r="B4" s="68" t="s">
        <v>182</v>
      </c>
    </row>
    <row r="5" ht="15">
      <c r="B5" s="68" t="s">
        <v>190</v>
      </c>
    </row>
    <row r="6" ht="15">
      <c r="B6" s="61"/>
    </row>
    <row r="8" spans="1:3" ht="12.75">
      <c r="A8" s="63" t="s">
        <v>181</v>
      </c>
      <c r="B8" s="70" t="s">
        <v>208</v>
      </c>
      <c r="C8" s="63" t="s">
        <v>187</v>
      </c>
    </row>
    <row r="9" spans="1:3" ht="12.75">
      <c r="A9" s="64"/>
      <c r="B9" s="64"/>
      <c r="C9" s="64" t="s">
        <v>128</v>
      </c>
    </row>
    <row r="10" spans="1:3" ht="12.75">
      <c r="A10" s="65">
        <v>1</v>
      </c>
      <c r="B10" s="65" t="s">
        <v>203</v>
      </c>
      <c r="C10" s="65">
        <v>2755300</v>
      </c>
    </row>
    <row r="11" spans="1:3" ht="12.75">
      <c r="A11" s="65">
        <v>2</v>
      </c>
      <c r="B11" s="65" t="s">
        <v>96</v>
      </c>
      <c r="C11" s="69">
        <f>C10*0.262</f>
        <v>721888.6</v>
      </c>
    </row>
    <row r="12" spans="1:3" ht="12.75">
      <c r="A12" s="65">
        <v>3</v>
      </c>
      <c r="B12" s="65" t="s">
        <v>191</v>
      </c>
      <c r="C12" s="65">
        <v>198400</v>
      </c>
    </row>
    <row r="13" spans="1:3" ht="12.75">
      <c r="A13" s="65">
        <v>4</v>
      </c>
      <c r="B13" s="65" t="s">
        <v>192</v>
      </c>
      <c r="C13" s="65">
        <v>48000</v>
      </c>
    </row>
    <row r="14" spans="1:3" ht="12.75">
      <c r="A14" s="65">
        <v>5</v>
      </c>
      <c r="B14" s="65" t="s">
        <v>193</v>
      </c>
      <c r="C14" s="65">
        <v>84000</v>
      </c>
    </row>
    <row r="15" spans="1:3" ht="12.75">
      <c r="A15" s="65">
        <v>6</v>
      </c>
      <c r="B15" s="65" t="s">
        <v>194</v>
      </c>
      <c r="C15" s="65">
        <v>4800</v>
      </c>
    </row>
    <row r="16" spans="1:3" ht="12.75">
      <c r="A16" s="65">
        <v>7</v>
      </c>
      <c r="B16" s="65" t="s">
        <v>200</v>
      </c>
      <c r="C16" s="65">
        <v>74400</v>
      </c>
    </row>
    <row r="17" spans="1:3" ht="12.75">
      <c r="A17" s="65">
        <v>8</v>
      </c>
      <c r="B17" s="65" t="s">
        <v>195</v>
      </c>
      <c r="C17" s="65">
        <v>6000</v>
      </c>
    </row>
    <row r="18" spans="1:3" ht="12.75">
      <c r="A18" s="65">
        <v>9</v>
      </c>
      <c r="B18" s="65" t="s">
        <v>196</v>
      </c>
      <c r="C18" s="65">
        <v>36000</v>
      </c>
    </row>
    <row r="19" spans="1:3" ht="12.75">
      <c r="A19" s="65">
        <v>10</v>
      </c>
      <c r="B19" s="65" t="s">
        <v>197</v>
      </c>
      <c r="C19" s="65">
        <v>168000</v>
      </c>
    </row>
    <row r="20" spans="1:3" ht="12.75">
      <c r="A20" s="65">
        <v>11</v>
      </c>
      <c r="B20" s="65" t="s">
        <v>198</v>
      </c>
      <c r="C20" s="65">
        <v>120000</v>
      </c>
    </row>
    <row r="21" spans="1:3" ht="12.75">
      <c r="A21" s="65">
        <v>12</v>
      </c>
      <c r="B21" s="65" t="s">
        <v>201</v>
      </c>
      <c r="C21" s="65">
        <v>67080</v>
      </c>
    </row>
    <row r="22" spans="1:3" ht="12.75">
      <c r="A22" s="65">
        <v>13</v>
      </c>
      <c r="B22" s="65" t="s">
        <v>202</v>
      </c>
      <c r="C22" s="65">
        <v>36000</v>
      </c>
    </row>
    <row r="23" spans="1:3" ht="12.75">
      <c r="A23" s="65">
        <v>14</v>
      </c>
      <c r="B23" s="65" t="s">
        <v>207</v>
      </c>
      <c r="C23" s="65">
        <v>66200</v>
      </c>
    </row>
    <row r="24" spans="1:3" ht="12.75">
      <c r="A24" s="65">
        <v>15</v>
      </c>
      <c r="B24" s="65" t="s">
        <v>199</v>
      </c>
      <c r="C24" s="65">
        <v>124400</v>
      </c>
    </row>
    <row r="25" spans="1:3" ht="12.75">
      <c r="A25" s="65"/>
      <c r="B25" s="66" t="s">
        <v>188</v>
      </c>
      <c r="C25" s="69">
        <f>SUM(C10:C24)</f>
        <v>4510468.6</v>
      </c>
    </row>
    <row r="27" ht="12.75">
      <c r="B27" s="67" t="s">
        <v>204</v>
      </c>
    </row>
    <row r="28" ht="12.75">
      <c r="B28" s="67" t="s">
        <v>205</v>
      </c>
    </row>
    <row r="29" ht="12.75">
      <c r="B29" s="67"/>
    </row>
    <row r="30" ht="12.75">
      <c r="B30" s="67" t="s">
        <v>97</v>
      </c>
    </row>
    <row r="32" ht="12.75">
      <c r="B32" s="67" t="s">
        <v>99</v>
      </c>
    </row>
    <row r="38" ht="12.75">
      <c r="B38" t="s">
        <v>206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B42" sqref="B42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5">
      <c r="C3" s="54" t="s">
        <v>74</v>
      </c>
      <c r="D3" s="78"/>
      <c r="E3" s="78"/>
    </row>
    <row r="6" spans="1:5" ht="22.5" customHeight="1">
      <c r="A6" s="179" t="s">
        <v>154</v>
      </c>
      <c r="B6" s="180"/>
      <c r="C6" s="180"/>
      <c r="D6" s="180"/>
      <c r="E6" s="180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127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591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52" t="s">
        <v>131</v>
      </c>
      <c r="B12" s="153"/>
      <c r="C12" s="153"/>
      <c r="D12" s="153"/>
      <c r="E12" s="154"/>
      <c r="F12" s="24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132</v>
      </c>
      <c r="B13" s="17" t="s">
        <v>133</v>
      </c>
      <c r="C13" s="17" t="s">
        <v>134</v>
      </c>
      <c r="D13" s="17" t="s">
        <v>135</v>
      </c>
      <c r="E13" s="17" t="s">
        <v>129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0">
        <v>244</v>
      </c>
      <c r="B14" s="6"/>
      <c r="C14" s="6"/>
      <c r="D14" s="6"/>
      <c r="E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77"/>
      <c r="B16" s="74"/>
      <c r="C16" s="7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3" t="s">
        <v>124</v>
      </c>
      <c r="B18" s="134"/>
      <c r="C18" s="134"/>
      <c r="D18" s="46"/>
      <c r="E18" s="47" t="s">
        <v>128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125</v>
      </c>
      <c r="B19" s="41"/>
      <c r="C19" s="41"/>
      <c r="D19" s="42"/>
      <c r="E19" s="23">
        <f>E21+E22+E23+E24</f>
        <v>1385.6244000000002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6" t="s">
        <v>371</v>
      </c>
      <c r="B20" s="147"/>
      <c r="C20" s="147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8" t="s">
        <v>390</v>
      </c>
      <c r="B21" s="149"/>
      <c r="C21" s="149"/>
      <c r="D21" s="43"/>
      <c r="E21" s="44">
        <f>0.006*5800*1.75*1.263*12</f>
        <v>923.0004000000001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597</v>
      </c>
      <c r="B22" s="144"/>
      <c r="C22" s="144"/>
      <c r="D22" s="20"/>
      <c r="E22" s="25">
        <f>0.04*A14*12</f>
        <v>117.12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592</v>
      </c>
      <c r="B23" s="144"/>
      <c r="C23" s="144"/>
      <c r="D23" s="20"/>
      <c r="E23" s="25">
        <f>0.028*A14*12</f>
        <v>81.984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43" t="s">
        <v>593</v>
      </c>
      <c r="B24" s="144"/>
      <c r="C24" s="144"/>
      <c r="D24" s="136"/>
      <c r="E24" s="26">
        <f>0.09*A14*12</f>
        <v>263.52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1" t="s">
        <v>126</v>
      </c>
      <c r="B25" s="132"/>
      <c r="C25" s="132"/>
      <c r="D25" s="20"/>
      <c r="E25" s="18">
        <f>E26+E27+E28+E29+E30+E31</f>
        <v>3616.356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598</v>
      </c>
      <c r="B26" s="144"/>
      <c r="C26" s="144"/>
      <c r="D26" s="20"/>
      <c r="E26" s="25">
        <f>14*1.5*90.3</f>
        <v>1896.3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599</v>
      </c>
      <c r="B27" s="144"/>
      <c r="C27" s="144"/>
      <c r="D27" s="20"/>
      <c r="E27" s="25">
        <f>14*1.5*35.02</f>
        <v>735.4200000000001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594</v>
      </c>
      <c r="B28" s="144"/>
      <c r="C28" s="144"/>
      <c r="D28" s="20"/>
      <c r="E28" s="25">
        <f>0.002*A14*12</f>
        <v>5.856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595</v>
      </c>
      <c r="B29" s="144"/>
      <c r="C29" s="144"/>
      <c r="D29" s="20"/>
      <c r="E29" s="25">
        <f>0.29*A14*12</f>
        <v>849.1199999999999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380</v>
      </c>
      <c r="B30" s="144"/>
      <c r="C30" s="144"/>
      <c r="D30" s="20"/>
      <c r="E30" s="76">
        <f>6*5.44+(6*16.17)</f>
        <v>129.66000000000003</v>
      </c>
      <c r="F30" s="75"/>
      <c r="G30" s="75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9440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0" t="s">
        <v>144</v>
      </c>
      <c r="B33" s="163" t="s">
        <v>600</v>
      </c>
      <c r="C33" s="163"/>
      <c r="D33" s="29"/>
      <c r="E33" s="18">
        <f>0.9*A14*12</f>
        <v>2635.2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1" t="s">
        <v>145</v>
      </c>
      <c r="B34" s="32"/>
      <c r="C34" s="33" t="s">
        <v>601</v>
      </c>
      <c r="D34" s="34"/>
      <c r="E34" s="18">
        <f>1.24*A14*12</f>
        <v>3630.7200000000003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596</v>
      </c>
      <c r="D35" s="37"/>
      <c r="E35" s="18">
        <f>0.003*A14*12</f>
        <v>8.783999999999999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E35+E34+E33+E32+E25+E19</f>
        <v>20716.684400000002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1243.001064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138</v>
      </c>
      <c r="B38" s="140"/>
      <c r="C38" s="140"/>
      <c r="D38" s="29"/>
      <c r="E38" s="8">
        <f>SUM(E36:E37)</f>
        <v>21959.685464000002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E38/A14/12</f>
        <v>7.4998925765027336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7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7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7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>
      <c r="A43" s="10"/>
      <c r="B43" s="11"/>
      <c r="C43" s="73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"/>
      <c r="B44" s="11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4"/>
      <c r="C47" s="15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 t="s">
        <v>127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9">
    <mergeCell ref="B33:C33"/>
    <mergeCell ref="A36:C36"/>
    <mergeCell ref="A37:C37"/>
    <mergeCell ref="A38:C38"/>
    <mergeCell ref="A29:C29"/>
    <mergeCell ref="A30:C30"/>
    <mergeCell ref="A32:C32"/>
    <mergeCell ref="A25:C25"/>
    <mergeCell ref="A26:C26"/>
    <mergeCell ref="A27:C27"/>
    <mergeCell ref="A28:C28"/>
    <mergeCell ref="A21:C21"/>
    <mergeCell ref="A22:C22"/>
    <mergeCell ref="A23:C23"/>
    <mergeCell ref="A24:D24"/>
    <mergeCell ref="A6:E6"/>
    <mergeCell ref="A12:E12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3">
      <selection activeCell="G22" sqref="G22:I25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142</v>
      </c>
      <c r="D1" s="54"/>
    </row>
    <row r="2" spans="3:4" ht="15">
      <c r="C2" s="54" t="s">
        <v>183</v>
      </c>
      <c r="D2" s="54"/>
    </row>
    <row r="3" spans="3:4" ht="15">
      <c r="C3" s="54" t="s">
        <v>74</v>
      </c>
      <c r="D3" s="54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209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3373.2</v>
      </c>
      <c r="B12" s="48">
        <v>215.6</v>
      </c>
      <c r="C12" s="48">
        <v>822.4</v>
      </c>
      <c r="D12" s="48">
        <v>0</v>
      </c>
      <c r="E12" s="6">
        <v>1428.8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49" t="s">
        <v>210</v>
      </c>
      <c r="C14" s="157" t="s">
        <v>212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81"/>
      <c r="B15" s="49" t="s">
        <v>211</v>
      </c>
      <c r="C15" s="18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56027.05919999999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224</v>
      </c>
      <c r="B20" s="149"/>
      <c r="C20" s="149"/>
      <c r="D20" s="43"/>
      <c r="E20" s="44">
        <f>0.32*5800*1.75*1.263*12</f>
        <v>49226.687999999995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3" t="s">
        <v>572</v>
      </c>
      <c r="B21" s="144"/>
      <c r="C21" s="144"/>
      <c r="D21" s="20"/>
      <c r="E21" s="25">
        <f>0.04*A12*12</f>
        <v>1619.136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43" t="s">
        <v>573</v>
      </c>
      <c r="B22" s="144"/>
      <c r="C22" s="144"/>
      <c r="D22" s="20"/>
      <c r="E22" s="25">
        <f>0.028*A12*12</f>
        <v>1133.3952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43" t="s">
        <v>574</v>
      </c>
      <c r="B23" s="144"/>
      <c r="C23" s="144"/>
      <c r="D23" s="136"/>
      <c r="E23" s="26">
        <f>0.1*A12*12</f>
        <v>4047.84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74757.9328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43" t="s">
        <v>230</v>
      </c>
      <c r="B25" s="144"/>
      <c r="C25" s="144"/>
      <c r="D25" s="20"/>
      <c r="E25" s="25">
        <f>158*1.5*90.3</f>
        <v>21401.1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231</v>
      </c>
      <c r="B26" s="144"/>
      <c r="C26" s="144"/>
      <c r="D26" s="20"/>
      <c r="E26" s="25">
        <f>158*1.5*35.02</f>
        <v>8299.740000000002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232</v>
      </c>
      <c r="B27" s="144"/>
      <c r="C27" s="144"/>
      <c r="D27" s="20"/>
      <c r="E27" s="26">
        <f>7300*2.73</f>
        <v>19929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213</v>
      </c>
      <c r="B28" s="144"/>
      <c r="C28" s="144"/>
      <c r="D28" s="20"/>
      <c r="E28" s="25">
        <f>0.002*A12*12</f>
        <v>80.95679999999999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214</v>
      </c>
      <c r="B29" s="144"/>
      <c r="C29" s="144"/>
      <c r="D29" s="20"/>
      <c r="E29" s="25">
        <f>0.29*A12*12</f>
        <v>11738.735999999997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233</v>
      </c>
      <c r="B30" s="144"/>
      <c r="C30" s="144"/>
      <c r="D30" s="20"/>
      <c r="E30" s="26">
        <f>70*5.44+(70*16.17*4)</f>
        <v>4908.400000000001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140</v>
      </c>
      <c r="B31" s="28" t="s">
        <v>234</v>
      </c>
      <c r="C31" s="28"/>
      <c r="D31" s="20"/>
      <c r="E31" s="5">
        <f>70*120</f>
        <v>8400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177300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235</v>
      </c>
      <c r="D33" s="29"/>
      <c r="E33" s="18">
        <v>43311.89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82" t="s">
        <v>236</v>
      </c>
      <c r="B34" s="183"/>
      <c r="C34" s="106" t="s">
        <v>237</v>
      </c>
      <c r="D34" s="29"/>
      <c r="E34" s="18">
        <f>1.24*A12*12</f>
        <v>50193.216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215</v>
      </c>
      <c r="D35" s="37"/>
      <c r="E35" s="8">
        <f>0.003*A12*12</f>
        <v>121.43520000000001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401711.53319999995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24102.691991999996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425814.2251919999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 t="s">
        <v>127</v>
      </c>
      <c r="E39" s="117">
        <f>E38/A12/12</f>
        <v>10.51954190857346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127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22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6:C36"/>
    <mergeCell ref="A37:C37"/>
    <mergeCell ref="A38:C38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3">
      <selection activeCell="I8" sqref="I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5">
      <c r="C3" s="54" t="s">
        <v>74</v>
      </c>
      <c r="D3" s="78"/>
      <c r="E3" s="78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2670.9</v>
      </c>
      <c r="B12" s="58">
        <v>180.5</v>
      </c>
      <c r="C12" s="58">
        <v>433</v>
      </c>
      <c r="D12" s="58"/>
      <c r="E12" s="58">
        <v>1950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637</v>
      </c>
      <c r="C14" s="157" t="s">
        <v>638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639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36920.3814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644</v>
      </c>
      <c r="B20" s="149"/>
      <c r="C20" s="149"/>
      <c r="D20" s="43"/>
      <c r="E20" s="44">
        <f>0.205*5800*1.75*1.263*12</f>
        <v>31535.846999999994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645</v>
      </c>
      <c r="B21" s="144"/>
      <c r="C21" s="144"/>
      <c r="D21" s="20"/>
      <c r="E21" s="25">
        <f>0.04*A12*12</f>
        <v>1282.0320000000002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640</v>
      </c>
      <c r="B22" s="144"/>
      <c r="C22" s="144"/>
      <c r="D22" s="20"/>
      <c r="E22" s="25">
        <f>0.028*A12*12</f>
        <v>897.4224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646</v>
      </c>
      <c r="B23" s="144"/>
      <c r="C23" s="144"/>
      <c r="D23" s="136"/>
      <c r="E23" s="26">
        <f>0.1*A12*12</f>
        <v>3205.0800000000004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55145.613600000004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647</v>
      </c>
      <c r="B25" s="144"/>
      <c r="C25" s="144"/>
      <c r="D25" s="20"/>
      <c r="E25" s="25">
        <f>141*1.5*90.3</f>
        <v>19098.45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648</v>
      </c>
      <c r="B26" s="144"/>
      <c r="C26" s="144"/>
      <c r="D26" s="20"/>
      <c r="E26" s="25">
        <f>141*1.5*35.02</f>
        <v>7406.7300000000005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649</v>
      </c>
      <c r="B27" s="144"/>
      <c r="C27" s="144"/>
      <c r="D27" s="20"/>
      <c r="E27" s="26">
        <f>5700*2.73</f>
        <v>15561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641</v>
      </c>
      <c r="B28" s="144"/>
      <c r="C28" s="144"/>
      <c r="D28" s="20"/>
      <c r="E28" s="25">
        <f>0.002*A12*12</f>
        <v>64.1016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642</v>
      </c>
      <c r="B29" s="144"/>
      <c r="C29" s="144"/>
      <c r="D29" s="20"/>
      <c r="E29" s="25">
        <f>0.29*A12*12</f>
        <v>9294.732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650</v>
      </c>
      <c r="B30" s="144"/>
      <c r="C30" s="144"/>
      <c r="D30" s="20"/>
      <c r="E30" s="26">
        <f>60*4.81+60*14.3*4</f>
        <v>3720.6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163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157350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651</v>
      </c>
      <c r="D33" s="29"/>
      <c r="E33" s="18">
        <f>0.9*A12*12</f>
        <v>28845.72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37" t="s">
        <v>609</v>
      </c>
      <c r="B34" s="138"/>
      <c r="C34" s="138"/>
      <c r="D34" s="29" t="s">
        <v>652</v>
      </c>
      <c r="E34" s="18">
        <f>1.24*A12*12</f>
        <v>39742.992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643</v>
      </c>
      <c r="D35" s="37"/>
      <c r="E35" s="8">
        <f>0.003*A12*12</f>
        <v>96.1524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318100.8594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19086.051564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337186.91096400004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E38/A12/12</f>
        <v>10.520389848740125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2" t="s">
        <v>185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34:C34"/>
    <mergeCell ref="A36:C36"/>
    <mergeCell ref="A37:C37"/>
    <mergeCell ref="A38:C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3">
      <selection activeCell="A3" sqref="A3:E6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5">
      <c r="C3" s="54" t="s">
        <v>74</v>
      </c>
      <c r="D3" s="78"/>
      <c r="E3" s="78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1611.4</v>
      </c>
      <c r="B12" s="58">
        <v>121</v>
      </c>
      <c r="C12" s="58">
        <v>607.7</v>
      </c>
      <c r="D12" s="58"/>
      <c r="E12" s="58">
        <v>1066.6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621</v>
      </c>
      <c r="C14" s="157" t="s">
        <v>622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623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39707.09819999999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628</v>
      </c>
      <c r="B20" s="149"/>
      <c r="C20" s="149"/>
      <c r="D20" s="43"/>
      <c r="E20" s="44">
        <f>0.237*5800*1.75*1.263*12</f>
        <v>36458.515799999994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629</v>
      </c>
      <c r="B21" s="144"/>
      <c r="C21" s="144"/>
      <c r="D21" s="20"/>
      <c r="E21" s="25">
        <f>0.04*A12*12</f>
        <v>773.472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624</v>
      </c>
      <c r="B22" s="144"/>
      <c r="C22" s="144"/>
      <c r="D22" s="20"/>
      <c r="E22" s="25">
        <f>0.028*A12*12</f>
        <v>541.4304000000001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630</v>
      </c>
      <c r="B23" s="144"/>
      <c r="C23" s="144"/>
      <c r="D23" s="136"/>
      <c r="E23" s="26">
        <f>0.1*A12*12</f>
        <v>1933.6800000000003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33080.425599999995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631</v>
      </c>
      <c r="B25" s="144"/>
      <c r="C25" s="144"/>
      <c r="D25" s="20"/>
      <c r="E25" s="25">
        <f>86*1.5*90.3</f>
        <v>11648.699999999999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632</v>
      </c>
      <c r="B26" s="144"/>
      <c r="C26" s="144"/>
      <c r="D26" s="20"/>
      <c r="E26" s="25">
        <f>86*1.5*35.02</f>
        <v>4517.580000000001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633</v>
      </c>
      <c r="B27" s="144"/>
      <c r="C27" s="144"/>
      <c r="D27" s="20"/>
      <c r="E27" s="26">
        <f>3100*2.73</f>
        <v>8463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625</v>
      </c>
      <c r="B28" s="144"/>
      <c r="C28" s="144"/>
      <c r="D28" s="20"/>
      <c r="E28" s="25">
        <f>0.002*A12*12</f>
        <v>38.67360000000001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626</v>
      </c>
      <c r="B29" s="144"/>
      <c r="C29" s="144"/>
      <c r="D29" s="20"/>
      <c r="E29" s="25">
        <f>0.29*A12*12</f>
        <v>5607.672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104</v>
      </c>
      <c r="B30" s="144"/>
      <c r="C30" s="144"/>
      <c r="D30" s="20"/>
      <c r="E30" s="26">
        <f>40*5.44+40*16.17*4</f>
        <v>2804.8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163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77680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634</v>
      </c>
      <c r="D33" s="29"/>
      <c r="E33" s="18">
        <f>0.9*A12*12</f>
        <v>17403.120000000003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37" t="s">
        <v>609</v>
      </c>
      <c r="B34" s="138"/>
      <c r="C34" s="138"/>
      <c r="D34" s="29" t="s">
        <v>635</v>
      </c>
      <c r="E34" s="18">
        <f>1.24*A12*12</f>
        <v>23977.632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627</v>
      </c>
      <c r="D35" s="37"/>
      <c r="E35" s="8">
        <f>0.003*A12*12</f>
        <v>58.010400000000004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191906.28619999997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11514.377171999999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203420.66337199998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E38/A12/12</f>
        <v>10.51987212837698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2" t="s">
        <v>185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34:C34"/>
    <mergeCell ref="A36:C36"/>
    <mergeCell ref="A37:C37"/>
    <mergeCell ref="A38:C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" sqref="A3:E6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78" t="s">
        <v>142</v>
      </c>
      <c r="D1" s="78"/>
      <c r="E1" s="78"/>
    </row>
    <row r="2" spans="3:5" ht="12.75">
      <c r="C2" s="78" t="s">
        <v>369</v>
      </c>
      <c r="D2" s="78"/>
      <c r="E2" s="78"/>
    </row>
    <row r="3" spans="3:5" ht="15">
      <c r="C3" s="54" t="s">
        <v>74</v>
      </c>
      <c r="D3" s="78"/>
      <c r="E3" s="78"/>
    </row>
    <row r="6" spans="1:15" ht="22.5" customHeight="1">
      <c r="A6" s="179" t="s">
        <v>154</v>
      </c>
      <c r="B6" s="180"/>
      <c r="C6" s="180"/>
      <c r="D6" s="180"/>
      <c r="E6" s="18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127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602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52" t="s">
        <v>131</v>
      </c>
      <c r="B10" s="153"/>
      <c r="C10" s="153"/>
      <c r="D10" s="153"/>
      <c r="E10" s="15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132</v>
      </c>
      <c r="B11" s="17" t="s">
        <v>133</v>
      </c>
      <c r="C11" s="17" t="s">
        <v>134</v>
      </c>
      <c r="D11" s="17" t="s">
        <v>135</v>
      </c>
      <c r="E11" s="17" t="s">
        <v>129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2644</v>
      </c>
      <c r="B12" s="58">
        <v>235.6</v>
      </c>
      <c r="C12" s="58">
        <v>1533.7</v>
      </c>
      <c r="D12" s="58"/>
      <c r="E12" s="58">
        <v>1186.1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55" t="s">
        <v>136</v>
      </c>
      <c r="B14" s="9" t="s">
        <v>603</v>
      </c>
      <c r="C14" s="157" t="s">
        <v>604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56"/>
      <c r="B15" s="9" t="s">
        <v>605</v>
      </c>
      <c r="C15" s="15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3" t="s">
        <v>124</v>
      </c>
      <c r="B17" s="134"/>
      <c r="C17" s="134"/>
      <c r="D17" s="46"/>
      <c r="E17" s="47" t="s">
        <v>128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125</v>
      </c>
      <c r="B18" s="41"/>
      <c r="C18" s="41"/>
      <c r="D18" s="42"/>
      <c r="E18" s="23">
        <f>E20+E21+E22+E23</f>
        <v>88400.34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6" t="s">
        <v>137</v>
      </c>
      <c r="B19" s="147"/>
      <c r="C19" s="147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8" t="s">
        <v>611</v>
      </c>
      <c r="B20" s="149"/>
      <c r="C20" s="149"/>
      <c r="D20" s="43"/>
      <c r="E20" s="44">
        <f>0.54*5800*1.75*1.263*12</f>
        <v>83070.036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3" t="s">
        <v>612</v>
      </c>
      <c r="B21" s="144"/>
      <c r="C21" s="144"/>
      <c r="D21" s="20"/>
      <c r="E21" s="25">
        <f>0.04*A12*12</f>
        <v>1269.1200000000001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43" t="s">
        <v>606</v>
      </c>
      <c r="B22" s="144"/>
      <c r="C22" s="144"/>
      <c r="D22" s="20"/>
      <c r="E22" s="25">
        <f>0.028*A12*12</f>
        <v>888.384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43" t="s">
        <v>613</v>
      </c>
      <c r="B23" s="144"/>
      <c r="C23" s="144"/>
      <c r="D23" s="136"/>
      <c r="E23" s="26">
        <f>0.1*A12*12</f>
        <v>3172.8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1" t="s">
        <v>126</v>
      </c>
      <c r="B24" s="132"/>
      <c r="C24" s="132"/>
      <c r="D24" s="20"/>
      <c r="E24" s="18">
        <f>E25+E26+E27+E28+E29+E30+E31</f>
        <v>44844.616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43" t="s">
        <v>614</v>
      </c>
      <c r="B25" s="144"/>
      <c r="C25" s="144"/>
      <c r="D25" s="20"/>
      <c r="E25" s="25">
        <f>132*1.5*90.3</f>
        <v>17879.399999999998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43" t="s">
        <v>615</v>
      </c>
      <c r="B26" s="144"/>
      <c r="C26" s="144"/>
      <c r="D26" s="20"/>
      <c r="E26" s="25">
        <f>132*1.5*35.02</f>
        <v>6933.960000000001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43" t="s">
        <v>616</v>
      </c>
      <c r="B27" s="144"/>
      <c r="C27" s="144"/>
      <c r="D27" s="20"/>
      <c r="E27" s="26">
        <f>2300*2.73</f>
        <v>6279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3" t="s">
        <v>607</v>
      </c>
      <c r="B28" s="144"/>
      <c r="C28" s="144"/>
      <c r="D28" s="20"/>
      <c r="E28" s="25">
        <f>0.002*A12*12</f>
        <v>63.456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43" t="s">
        <v>608</v>
      </c>
      <c r="B29" s="144"/>
      <c r="C29" s="144"/>
      <c r="D29" s="20"/>
      <c r="E29" s="25">
        <f>0.29*A12*12</f>
        <v>9201.119999999999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43" t="s">
        <v>617</v>
      </c>
      <c r="B30" s="144"/>
      <c r="C30" s="144"/>
      <c r="D30" s="20"/>
      <c r="E30" s="26">
        <f>64*5.44+64*16.17*4</f>
        <v>4487.68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163</v>
      </c>
      <c r="B31" s="28" t="s">
        <v>162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5" t="s">
        <v>143</v>
      </c>
      <c r="B32" s="135"/>
      <c r="C32" s="135"/>
      <c r="D32" s="29"/>
      <c r="E32" s="8">
        <v>113650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159</v>
      </c>
      <c r="B33" s="53"/>
      <c r="C33" s="53" t="s">
        <v>618</v>
      </c>
      <c r="D33" s="29"/>
      <c r="E33" s="18">
        <f>0.9*A12*12</f>
        <v>28555.199999999997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37" t="s">
        <v>609</v>
      </c>
      <c r="B34" s="138"/>
      <c r="C34" s="138"/>
      <c r="D34" s="29" t="s">
        <v>619</v>
      </c>
      <c r="E34" s="18">
        <f>1.24*A12*12</f>
        <v>39342.72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146</v>
      </c>
      <c r="B35" s="36"/>
      <c r="C35" s="36" t="s">
        <v>610</v>
      </c>
      <c r="D35" s="37"/>
      <c r="E35" s="8">
        <f>0.003*A12*12</f>
        <v>95.184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39" t="s">
        <v>147</v>
      </c>
      <c r="B36" s="140"/>
      <c r="C36" s="140"/>
      <c r="D36" s="29"/>
      <c r="E36" s="8">
        <f>E35+E34+E33+E32+E24+E18</f>
        <v>314888.06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1" t="s">
        <v>323</v>
      </c>
      <c r="B37" s="142"/>
      <c r="C37" s="142"/>
      <c r="D37" s="29"/>
      <c r="E37" s="19">
        <f>E36*0.06</f>
        <v>18893.2836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39" t="s">
        <v>149</v>
      </c>
      <c r="B38" s="140"/>
      <c r="C38" s="140"/>
      <c r="D38" s="29"/>
      <c r="E38" s="8">
        <f>SUM(E36:E37)</f>
        <v>333781.3436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139</v>
      </c>
      <c r="B39" s="38"/>
      <c r="C39" s="39"/>
      <c r="D39" s="8"/>
      <c r="E39" s="117">
        <f>E38/A12/12</f>
        <v>10.520087733232478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1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2" t="s">
        <v>185</v>
      </c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2">
    <mergeCell ref="A34:C34"/>
    <mergeCell ref="A36:C36"/>
    <mergeCell ref="A37:C37"/>
    <mergeCell ref="A38:C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2012-07-12T08:26:56Z</cp:lastPrinted>
  <dcterms:created xsi:type="dcterms:W3CDTF">2010-10-12T06:05:29Z</dcterms:created>
  <dcterms:modified xsi:type="dcterms:W3CDTF">2013-10-10T14:00:08Z</dcterms:modified>
  <cp:category/>
  <cp:version/>
  <cp:contentType/>
  <cp:contentStatus/>
</cp:coreProperties>
</file>