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m.gosuslugi.ru\2022\Вектор Плюс\Расчет расходов на обслуживание\"/>
    </mc:Choice>
  </mc:AlternateContent>
  <bookViews>
    <workbookView xWindow="0" yWindow="0" windowWidth="28800" windowHeight="12435"/>
  </bookViews>
  <sheets>
    <sheet name="31 &quot;А&quot; Аэрофлот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C23" i="1"/>
  <c r="O23" i="1" s="1"/>
  <c r="O22" i="1" s="1"/>
  <c r="C24" i="1"/>
  <c r="O24" i="1"/>
  <c r="O26" i="1"/>
  <c r="J27" i="1"/>
  <c r="O27" i="1"/>
  <c r="O29" i="1"/>
  <c r="O30" i="1"/>
  <c r="O33" i="1"/>
  <c r="M32" i="1" s="1"/>
  <c r="O34" i="1"/>
  <c r="O35" i="1"/>
  <c r="O36" i="1"/>
  <c r="O39" i="1"/>
  <c r="M38" i="1" s="1"/>
  <c r="E40" i="1"/>
  <c r="O40" i="1"/>
  <c r="O41" i="1"/>
  <c r="M43" i="1"/>
  <c r="M52" i="1"/>
  <c r="M61" i="1"/>
  <c r="M71" i="1"/>
  <c r="M79" i="1"/>
  <c r="L84" i="1"/>
  <c r="L85" i="1"/>
  <c r="L86" i="1"/>
  <c r="O28" i="1" l="1"/>
  <c r="M21" i="1" s="1"/>
  <c r="M73" i="1" s="1"/>
  <c r="M75" i="1" l="1"/>
  <c r="M77" i="1"/>
  <c r="M81" i="1" s="1"/>
</calcChain>
</file>

<file path=xl/sharedStrings.xml><?xml version="1.0" encoding="utf-8"?>
<sst xmlns="http://schemas.openxmlformats.org/spreadsheetml/2006/main" count="141" uniqueCount="91">
  <si>
    <t>Шишков К. А.</t>
  </si>
  <si>
    <t>Радин В.Е.</t>
  </si>
  <si>
    <t xml:space="preserve">Председатель  ЖСК "Аэрофлот" </t>
  </si>
  <si>
    <t xml:space="preserve">Директор  ООО «Вектор Плюс»                                               Председатель  ТСЖ  </t>
  </si>
  <si>
    <t>руб.</t>
  </si>
  <si>
    <t>Итого:</t>
  </si>
  <si>
    <t>ОДН</t>
  </si>
  <si>
    <t>Начислено по содержанию  жилья:</t>
  </si>
  <si>
    <t>Доходы:</t>
  </si>
  <si>
    <t>тыс. руб.</t>
  </si>
  <si>
    <t>Всего  расходов:</t>
  </si>
  <si>
    <t>Расходы по ОДН (ГВС,ХВС, эл.эн.)</t>
  </si>
  <si>
    <t>VIII.</t>
  </si>
  <si>
    <t>Всего:</t>
  </si>
  <si>
    <t>Рентабельность</t>
  </si>
  <si>
    <t>Внеэксплуатационные расходы (налоги):</t>
  </si>
  <si>
    <t>VII.</t>
  </si>
  <si>
    <t>Затраты на а/м (аренда, з/плата водителя, ГСМ, з/ч)</t>
  </si>
  <si>
    <t>Членские взносы в СРО</t>
  </si>
  <si>
    <t>Аттестация ИТР</t>
  </si>
  <si>
    <t>Затраты на канцтовары, период. издания, типограф. работы</t>
  </si>
  <si>
    <t>Затраты на ремонт помещений АУП</t>
  </si>
  <si>
    <t>Затраты на программное и системное обеспечение</t>
  </si>
  <si>
    <t>Затраты на связь (телефон, интернет)</t>
  </si>
  <si>
    <t>З/плата АУП, начисления на з/плату</t>
  </si>
  <si>
    <t>Общеэксплуатационные  расходы              всего:</t>
  </si>
  <si>
    <t>VI.</t>
  </si>
  <si>
    <t>Гос.пошлина, БТИ</t>
  </si>
  <si>
    <t>Услуги банка</t>
  </si>
  <si>
    <t>Т/о, страхование а/м, освидет. водителей</t>
  </si>
  <si>
    <t>Расходы на содержание администр.и производ. помещений</t>
  </si>
  <si>
    <t>Расчеты с КВЦ</t>
  </si>
  <si>
    <t>Аренда и страхование производ. и офисных помещений</t>
  </si>
  <si>
    <t>З/плата ИТР, начисления на з/плату</t>
  </si>
  <si>
    <t>всего:</t>
  </si>
  <si>
    <t>Прочие прямые затраты:</t>
  </si>
  <si>
    <t>V.</t>
  </si>
  <si>
    <t>Аттестация рабочих мест</t>
  </si>
  <si>
    <t>•</t>
  </si>
  <si>
    <t>ГСМ, з/ч на машины</t>
  </si>
  <si>
    <t>Услуги подрядных организаций (швы и др.)</t>
  </si>
  <si>
    <t>Спецодежда, инструмент и инвентарь</t>
  </si>
  <si>
    <t>Материалы</t>
  </si>
  <si>
    <t>З/плата  рабочих, начисления на з/плату</t>
  </si>
  <si>
    <t>Тех. обслуживание и текущий ремонт общедомового имущ.</t>
  </si>
  <si>
    <t>IV.</t>
  </si>
  <si>
    <t xml:space="preserve">страхование лифтов </t>
  </si>
  <si>
    <t>)</t>
  </si>
  <si>
    <t>лифтов</t>
  </si>
  <si>
    <t>технич. освидет.    (</t>
  </si>
  <si>
    <t>технич. обслуживание (7 лифтов)</t>
  </si>
  <si>
    <t xml:space="preserve">Содержание и ремонт лифтового хозяйства:  </t>
  </si>
  <si>
    <t>III.</t>
  </si>
  <si>
    <t>Испыт и измер электрообор</t>
  </si>
  <si>
    <t>Рязаньгоргаз</t>
  </si>
  <si>
    <t>услуга АРС (Аварийно-ремонтной службы)</t>
  </si>
  <si>
    <t>дератизация, дезинсекция</t>
  </si>
  <si>
    <t>Содержание  домохозяйства:       всего:</t>
  </si>
  <si>
    <t>II.</t>
  </si>
  <si>
    <t>Прочие расходы (з-ты на уборку снега и окос)</t>
  </si>
  <si>
    <t>С/о,  инвентарь, приобретение  моющих  средств  и  песко-соляной смеси:</t>
  </si>
  <si>
    <t>%</t>
  </si>
  <si>
    <t>Начисления  на  з/плату</t>
  </si>
  <si>
    <t>руб. х</t>
  </si>
  <si>
    <t xml:space="preserve">Доплата за уборку кабинок лифта </t>
  </si>
  <si>
    <t>Доплата за погрузку мусора</t>
  </si>
  <si>
    <t xml:space="preserve">ед. </t>
  </si>
  <si>
    <t>уборщицы</t>
  </si>
  <si>
    <t>дворники:</t>
  </si>
  <si>
    <t>Зарплата:</t>
  </si>
  <si>
    <t>Благоустройство  и  сан. очистка  домовладения: всего:</t>
  </si>
  <si>
    <t>I.</t>
  </si>
  <si>
    <t>Содержание  общего  имущества:</t>
  </si>
  <si>
    <t>по 10 эт.</t>
  </si>
  <si>
    <t xml:space="preserve">Кол-во  лифтов:               </t>
  </si>
  <si>
    <t>Кол-во  подъездов:</t>
  </si>
  <si>
    <t>Кол-во  проживающих:</t>
  </si>
  <si>
    <t>Кол-во уборщиц:</t>
  </si>
  <si>
    <t>Кол-во  дворников:</t>
  </si>
  <si>
    <r>
      <t>м</t>
    </r>
    <r>
      <rPr>
        <vertAlign val="superscript"/>
        <sz val="11"/>
        <rFont val="Arial"/>
        <family val="2"/>
        <charset val="204"/>
      </rPr>
      <t>2</t>
    </r>
  </si>
  <si>
    <t>тротуар</t>
  </si>
  <si>
    <t>S  уборочная: газон</t>
  </si>
  <si>
    <t>S  уборочная  л/кл.</t>
  </si>
  <si>
    <t>S  т/подполья</t>
  </si>
  <si>
    <t>S  общ.вход.в состав общ.имущ.</t>
  </si>
  <si>
    <t>начислений</t>
  </si>
  <si>
    <t>S  общ.</t>
  </si>
  <si>
    <t>в  разрезе  1  месяца с 01.01.2022 года</t>
  </si>
  <si>
    <t>расходов на обслуживание  ЖСК  "Аэрофлот",  ул. Зубковой д. 31 "А"</t>
  </si>
  <si>
    <t>РАСЧЁТ</t>
  </si>
  <si>
    <t>Приложение 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</si>
</sst>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BernhardFashion BT"/>
      <family val="5"/>
    </font>
    <font>
      <i/>
      <sz val="11"/>
      <name val="Arial"/>
      <family val="2"/>
      <charset val="204"/>
    </font>
    <font>
      <sz val="11"/>
      <name val="BernhardFashion BT"/>
      <family val="5"/>
    </font>
    <font>
      <u/>
      <sz val="14"/>
      <name val="Arial"/>
      <family val="2"/>
      <charset val="204"/>
    </font>
    <font>
      <vertAlign val="superscript"/>
      <sz val="11"/>
      <name val="Arial"/>
      <family val="2"/>
      <charset val="204"/>
    </font>
    <font>
      <sz val="14"/>
      <name val="Arial"/>
      <family val="2"/>
      <charset val="204"/>
    </font>
    <font>
      <u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left"/>
    </xf>
    <xf numFmtId="4" fontId="6" fillId="0" borderId="0" xfId="0" applyNumberFormat="1" applyFont="1" applyAlignment="1">
      <alignment horizontal="right"/>
    </xf>
    <xf numFmtId="0" fontId="6" fillId="0" borderId="1" xfId="0" applyFont="1" applyBorder="1"/>
    <xf numFmtId="0" fontId="8" fillId="0" borderId="2" xfId="0" applyFont="1" applyBorder="1"/>
    <xf numFmtId="0" fontId="6" fillId="0" borderId="2" xfId="0" applyFont="1" applyBorder="1"/>
    <xf numFmtId="2" fontId="6" fillId="0" borderId="3" xfId="0" applyNumberFormat="1" applyFont="1" applyBorder="1"/>
    <xf numFmtId="0" fontId="6" fillId="0" borderId="0" xfId="0" applyFont="1" applyBorder="1"/>
    <xf numFmtId="0" fontId="8" fillId="0" borderId="0" xfId="0" applyFont="1" applyBorder="1"/>
    <xf numFmtId="2" fontId="6" fillId="0" borderId="0" xfId="0" applyNumberFormat="1" applyFont="1" applyBorder="1"/>
    <xf numFmtId="0" fontId="2" fillId="0" borderId="4" xfId="0" applyFont="1" applyBorder="1"/>
    <xf numFmtId="0" fontId="6" fillId="0" borderId="4" xfId="0" applyFont="1" applyBorder="1"/>
    <xf numFmtId="0" fontId="8" fillId="0" borderId="4" xfId="0" applyFont="1" applyBorder="1"/>
    <xf numFmtId="2" fontId="6" fillId="0" borderId="4" xfId="0" applyNumberFormat="1" applyFont="1" applyBorder="1"/>
    <xf numFmtId="0" fontId="2" fillId="0" borderId="0" xfId="0" applyFont="1" applyBorder="1"/>
    <xf numFmtId="164" fontId="2" fillId="0" borderId="0" xfId="0" applyNumberFormat="1" applyFont="1" applyBorder="1"/>
    <xf numFmtId="0" fontId="1" fillId="0" borderId="0" xfId="0" applyFont="1"/>
    <xf numFmtId="164" fontId="1" fillId="0" borderId="0" xfId="0" applyNumberFormat="1" applyFont="1"/>
    <xf numFmtId="0" fontId="8" fillId="0" borderId="0" xfId="0" applyFont="1" applyAlignment="1">
      <alignment horizontal="right"/>
    </xf>
    <xf numFmtId="0" fontId="1" fillId="0" borderId="0" xfId="0" applyFont="1" applyBorder="1"/>
    <xf numFmtId="164" fontId="1" fillId="0" borderId="0" xfId="0" applyNumberFormat="1" applyFont="1" applyBorder="1"/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4" fillId="0" borderId="0" xfId="0" applyFont="1" applyBorder="1"/>
    <xf numFmtId="0" fontId="11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 applyBorder="1"/>
    <xf numFmtId="164" fontId="9" fillId="0" borderId="0" xfId="0" applyNumberFormat="1" applyFont="1" applyBorder="1"/>
    <xf numFmtId="1" fontId="2" fillId="0" borderId="0" xfId="0" applyNumberFormat="1" applyFont="1"/>
    <xf numFmtId="164" fontId="2" fillId="0" borderId="0" xfId="0" applyNumberFormat="1" applyFont="1"/>
    <xf numFmtId="0" fontId="2" fillId="0" borderId="0" xfId="0" applyFont="1" applyAlignment="1">
      <alignment horizontal="center"/>
    </xf>
    <xf numFmtId="0" fontId="12" fillId="0" borderId="0" xfId="0" applyFont="1"/>
    <xf numFmtId="2" fontId="0" fillId="0" borderId="0" xfId="0" applyNumberFormat="1"/>
    <xf numFmtId="0" fontId="2" fillId="0" borderId="0" xfId="0" applyFont="1" applyAlignment="1">
      <alignment horizontal="left"/>
    </xf>
    <xf numFmtId="1" fontId="2" fillId="0" borderId="0" xfId="0" applyNumberFormat="1" applyFont="1" applyBorder="1"/>
    <xf numFmtId="1" fontId="8" fillId="0" borderId="0" xfId="0" applyNumberFormat="1" applyFont="1"/>
    <xf numFmtId="0" fontId="8" fillId="0" borderId="0" xfId="0" applyFont="1" applyAlignment="1"/>
    <xf numFmtId="164" fontId="9" fillId="0" borderId="0" xfId="0" applyNumberFormat="1" applyFont="1"/>
    <xf numFmtId="2" fontId="2" fillId="0" borderId="0" xfId="0" applyNumberFormat="1" applyFont="1"/>
    <xf numFmtId="0" fontId="2" fillId="0" borderId="0" xfId="0" applyFont="1" applyAlignment="1">
      <alignment horizontal="center"/>
    </xf>
    <xf numFmtId="0" fontId="11" fillId="0" borderId="0" xfId="0" applyFont="1"/>
    <xf numFmtId="0" fontId="13" fillId="0" borderId="0" xfId="0" applyFont="1"/>
    <xf numFmtId="0" fontId="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3"/>
  <sheetViews>
    <sheetView tabSelected="1" workbookViewId="0">
      <selection activeCell="Q84" sqref="Q84"/>
    </sheetView>
  </sheetViews>
  <sheetFormatPr defaultRowHeight="14.25"/>
  <cols>
    <col min="1" max="1" width="4" style="1" customWidth="1"/>
    <col min="2" max="2" width="11" style="1" customWidth="1"/>
    <col min="3" max="3" width="5.57031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5.28515625" style="1" customWidth="1"/>
    <col min="11" max="11" width="7.42578125" style="1" customWidth="1"/>
    <col min="12" max="12" width="5" style="1" customWidth="1"/>
    <col min="13" max="13" width="10.140625" style="1" customWidth="1"/>
    <col min="14" max="14" width="1.42578125" style="1" customWidth="1"/>
    <col min="15" max="15" width="9.140625" style="1"/>
    <col min="16" max="16" width="4.7109375" style="1" customWidth="1"/>
    <col min="17" max="17" width="1.85546875" style="1" customWidth="1"/>
    <col min="18" max="18" width="9.140625" style="1"/>
  </cols>
  <sheetData>
    <row r="1" spans="1:18">
      <c r="M1" s="53" t="s">
        <v>90</v>
      </c>
      <c r="N1" s="53"/>
      <c r="O1" s="53"/>
    </row>
    <row r="2" spans="1:18" ht="18">
      <c r="G2" s="52" t="s">
        <v>89</v>
      </c>
      <c r="H2" s="52"/>
      <c r="I2" s="52"/>
    </row>
    <row r="3" spans="1:18" ht="15">
      <c r="A3" s="3"/>
      <c r="B3" s="51" t="s">
        <v>88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3"/>
      <c r="O3" s="3"/>
      <c r="P3" s="3"/>
      <c r="Q3" s="3"/>
      <c r="R3" s="3"/>
    </row>
    <row r="4" spans="1:18" ht="15">
      <c r="A4" s="3"/>
      <c r="B4" s="3"/>
      <c r="C4" s="3"/>
      <c r="D4" s="51" t="s">
        <v>87</v>
      </c>
      <c r="E4" s="51"/>
      <c r="F4" s="51"/>
      <c r="G4" s="51"/>
      <c r="H4" s="51"/>
      <c r="I4" s="51"/>
      <c r="J4" s="51"/>
      <c r="K4" s="51"/>
      <c r="L4" s="51"/>
      <c r="M4" s="51"/>
      <c r="N4" s="3"/>
      <c r="O4" s="3"/>
      <c r="P4" s="3"/>
      <c r="Q4" s="3"/>
      <c r="R4" s="3"/>
    </row>
    <row r="6" spans="1:18" ht="15" customHeight="1">
      <c r="A6" s="1" t="s">
        <v>86</v>
      </c>
      <c r="C6" s="1" t="s">
        <v>85</v>
      </c>
      <c r="G6" s="48">
        <v>17525.900000000001</v>
      </c>
      <c r="H6" s="48"/>
      <c r="I6" s="1" t="s">
        <v>79</v>
      </c>
    </row>
    <row r="7" spans="1:18" ht="15" customHeight="1">
      <c r="A7" s="1" t="s">
        <v>84</v>
      </c>
      <c r="G7" s="48">
        <v>1883.88</v>
      </c>
      <c r="H7" s="48"/>
      <c r="I7" s="1" t="s">
        <v>79</v>
      </c>
    </row>
    <row r="8" spans="1:18" ht="15" customHeight="1">
      <c r="A8" s="1" t="s">
        <v>83</v>
      </c>
      <c r="G8" s="48">
        <v>2588.1999999999998</v>
      </c>
      <c r="H8" s="48"/>
      <c r="I8" s="1" t="s">
        <v>79</v>
      </c>
    </row>
    <row r="9" spans="1:18" ht="15" customHeight="1">
      <c r="A9" s="1" t="s">
        <v>82</v>
      </c>
      <c r="G9" s="48">
        <v>1838.08</v>
      </c>
      <c r="H9" s="48"/>
      <c r="I9" s="1" t="s">
        <v>79</v>
      </c>
    </row>
    <row r="10" spans="1:18" ht="15" customHeight="1">
      <c r="A10" s="1" t="s">
        <v>81</v>
      </c>
      <c r="G10" s="48">
        <v>4575.6000000000004</v>
      </c>
      <c r="H10" s="48"/>
      <c r="I10" s="1" t="s">
        <v>79</v>
      </c>
    </row>
    <row r="11" spans="1:18" ht="15" customHeight="1">
      <c r="B11" s="1" t="s">
        <v>80</v>
      </c>
      <c r="G11" s="48">
        <v>3561.3</v>
      </c>
      <c r="H11" s="48"/>
      <c r="I11" s="1" t="s">
        <v>79</v>
      </c>
    </row>
    <row r="12" spans="1:18" ht="15" customHeight="1">
      <c r="A12" s="1" t="s">
        <v>78</v>
      </c>
      <c r="G12" s="48">
        <v>1.1299999999999999</v>
      </c>
      <c r="H12" s="48"/>
      <c r="I12" s="39"/>
    </row>
    <row r="13" spans="1:18" ht="15" customHeight="1">
      <c r="A13" s="1" t="s">
        <v>77</v>
      </c>
      <c r="G13" s="48">
        <f>ROUND(1.75/2/2,2)</f>
        <v>0.44</v>
      </c>
      <c r="H13" s="48"/>
      <c r="I13" s="39"/>
    </row>
    <row r="14" spans="1:18" ht="15" customHeight="1">
      <c r="G14" s="39"/>
      <c r="H14" s="39"/>
      <c r="I14" s="39"/>
    </row>
    <row r="15" spans="1:18" ht="15" customHeight="1">
      <c r="A15" s="1" t="s">
        <v>76</v>
      </c>
      <c r="G15" s="48">
        <v>660</v>
      </c>
      <c r="H15" s="48"/>
      <c r="I15" s="39"/>
    </row>
    <row r="16" spans="1:18" ht="15" customHeight="1">
      <c r="A16" s="1" t="s">
        <v>75</v>
      </c>
      <c r="G16" s="39"/>
      <c r="H16" s="42">
        <v>7</v>
      </c>
      <c r="I16" s="39"/>
    </row>
    <row r="17" spans="1:18" ht="15" customHeight="1">
      <c r="A17" s="1" t="s">
        <v>74</v>
      </c>
      <c r="G17" s="39"/>
      <c r="H17" s="42">
        <v>7</v>
      </c>
      <c r="I17" s="42" t="s">
        <v>73</v>
      </c>
    </row>
    <row r="18" spans="1:18" ht="15" customHeight="1">
      <c r="G18" s="39"/>
      <c r="H18" s="42"/>
      <c r="I18" s="42"/>
    </row>
    <row r="19" spans="1:18" ht="15" customHeight="1">
      <c r="B19" s="50" t="s">
        <v>72</v>
      </c>
      <c r="G19" s="39"/>
      <c r="H19" s="42"/>
      <c r="I19" s="42"/>
    </row>
    <row r="20" spans="1:18" ht="15" customHeight="1"/>
    <row r="21" spans="1:18" ht="15" customHeight="1">
      <c r="A21" s="25" t="s">
        <v>71</v>
      </c>
      <c r="B21" s="7" t="s">
        <v>70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20">
        <f>ROUND((O22+O28+O29+O30)/1000,2)</f>
        <v>45.87</v>
      </c>
      <c r="N21" s="18"/>
      <c r="O21" s="18" t="s">
        <v>9</v>
      </c>
      <c r="P21" s="19"/>
      <c r="Q21" s="7"/>
      <c r="R21" s="7"/>
    </row>
    <row r="22" spans="1:18" ht="15" customHeight="1">
      <c r="B22" s="49" t="s">
        <v>69</v>
      </c>
      <c r="M22" s="38"/>
      <c r="O22" s="44">
        <f>SUM(O23:O27)</f>
        <v>30919</v>
      </c>
      <c r="P22" s="7" t="s">
        <v>4</v>
      </c>
    </row>
    <row r="23" spans="1:18" ht="15" customHeight="1">
      <c r="A23" s="40" t="s">
        <v>38</v>
      </c>
      <c r="B23" s="1" t="s">
        <v>68</v>
      </c>
      <c r="C23" s="1">
        <f>G12*1</f>
        <v>1.1299999999999999</v>
      </c>
      <c r="D23" s="1" t="s">
        <v>66</v>
      </c>
      <c r="E23" s="48"/>
      <c r="F23" s="48"/>
      <c r="I23" s="23"/>
      <c r="K23" s="23"/>
      <c r="M23" s="24"/>
      <c r="N23" s="23"/>
      <c r="O23" s="37">
        <f>ROUND(C23*8930*1.76*1.07,0)</f>
        <v>19003</v>
      </c>
      <c r="P23" s="1" t="s">
        <v>4</v>
      </c>
    </row>
    <row r="24" spans="1:18" ht="15" customHeight="1">
      <c r="A24" s="40" t="s">
        <v>38</v>
      </c>
      <c r="B24" s="1" t="s">
        <v>67</v>
      </c>
      <c r="C24" s="47">
        <f>G13*1</f>
        <v>0.44</v>
      </c>
      <c r="D24" s="1" t="s">
        <v>66</v>
      </c>
      <c r="E24" s="48"/>
      <c r="F24" s="48"/>
      <c r="I24" s="23"/>
      <c r="K24" s="23"/>
      <c r="M24" s="24"/>
      <c r="N24" s="23"/>
      <c r="O24" s="37">
        <f>ROUND(C24*12120*1.65*1.07,0)</f>
        <v>9415</v>
      </c>
      <c r="P24" s="1" t="s">
        <v>4</v>
      </c>
    </row>
    <row r="25" spans="1:18" ht="15" customHeight="1">
      <c r="A25" s="40"/>
      <c r="C25" s="47"/>
      <c r="E25" s="39"/>
      <c r="F25" s="39"/>
      <c r="I25" s="23"/>
      <c r="K25" s="23"/>
      <c r="M25" s="24"/>
      <c r="N25" s="23"/>
      <c r="O25" s="37"/>
    </row>
    <row r="26" spans="1:18" ht="15" customHeight="1">
      <c r="A26" s="40"/>
      <c r="B26" s="1" t="s">
        <v>65</v>
      </c>
      <c r="E26" s="39"/>
      <c r="F26" s="39"/>
      <c r="I26" s="23"/>
      <c r="K26" s="23"/>
      <c r="M26" s="24"/>
      <c r="N26" s="23"/>
      <c r="O26" s="37">
        <f>ROUND(16500/12.85*G12,0)</f>
        <v>1451</v>
      </c>
      <c r="P26" s="1" t="s">
        <v>4</v>
      </c>
    </row>
    <row r="27" spans="1:18" ht="14.25" customHeight="1">
      <c r="A27" s="40"/>
      <c r="B27" s="1" t="s">
        <v>64</v>
      </c>
      <c r="E27" s="39"/>
      <c r="F27" s="39"/>
      <c r="H27" s="1">
        <v>150</v>
      </c>
      <c r="I27" s="28" t="s">
        <v>63</v>
      </c>
      <c r="J27" s="1">
        <f>H17</f>
        <v>7</v>
      </c>
      <c r="K27" s="28"/>
      <c r="M27" s="46"/>
      <c r="N27" s="28"/>
      <c r="O27" s="37">
        <f>H27*J27</f>
        <v>1050</v>
      </c>
      <c r="P27" s="1" t="s">
        <v>4</v>
      </c>
    </row>
    <row r="28" spans="1:18" ht="15" customHeight="1">
      <c r="B28" s="1" t="s">
        <v>62</v>
      </c>
      <c r="G28" s="1">
        <v>30.2</v>
      </c>
      <c r="H28" s="1" t="s">
        <v>61</v>
      </c>
      <c r="M28" s="38"/>
      <c r="O28" s="7">
        <f>ROUND(O22*G28/100,0)</f>
        <v>9338</v>
      </c>
      <c r="P28" s="7" t="s">
        <v>4</v>
      </c>
    </row>
    <row r="29" spans="1:18" ht="15" customHeight="1">
      <c r="B29" s="1" t="s">
        <v>60</v>
      </c>
      <c r="M29" s="38"/>
      <c r="O29" s="45">
        <f>ROUND(20000/218644.6*G6,0)</f>
        <v>1603</v>
      </c>
      <c r="P29" s="45" t="s">
        <v>4</v>
      </c>
    </row>
    <row r="30" spans="1:18" ht="15" customHeight="1">
      <c r="B30" s="1" t="s">
        <v>59</v>
      </c>
      <c r="M30" s="38"/>
      <c r="O30" s="45">
        <f>ROUND(50000/218644.5*G6,0)</f>
        <v>4008</v>
      </c>
      <c r="P30" s="45" t="s">
        <v>4</v>
      </c>
    </row>
    <row r="31" spans="1:18" ht="15" customHeight="1">
      <c r="A31" s="40"/>
      <c r="M31" s="38"/>
      <c r="O31" s="44"/>
      <c r="P31" s="7"/>
    </row>
    <row r="32" spans="1:18" ht="15" customHeight="1">
      <c r="A32" s="25" t="s">
        <v>58</v>
      </c>
      <c r="B32" s="7" t="s">
        <v>57</v>
      </c>
      <c r="C32" s="7"/>
      <c r="D32" s="7"/>
      <c r="E32" s="7"/>
      <c r="F32" s="7"/>
      <c r="G32" s="7"/>
      <c r="H32" s="7"/>
      <c r="I32" s="7"/>
      <c r="J32" s="7"/>
      <c r="K32" s="7"/>
      <c r="L32" s="7"/>
      <c r="M32" s="20">
        <f>ROUND((O33+O34+O35+O36)/1000,2)</f>
        <v>13.12</v>
      </c>
      <c r="N32" s="18"/>
      <c r="O32" s="18" t="s">
        <v>9</v>
      </c>
      <c r="P32" s="19"/>
      <c r="Q32" s="7"/>
      <c r="R32" s="7"/>
    </row>
    <row r="33" spans="1:19" ht="15" customHeight="1">
      <c r="A33" s="40" t="s">
        <v>38</v>
      </c>
      <c r="B33" s="1" t="s">
        <v>56</v>
      </c>
      <c r="M33" s="38"/>
      <c r="O33" s="44">
        <f>ROUND(3253.1*0.173333,0)</f>
        <v>564</v>
      </c>
      <c r="P33" s="7" t="s">
        <v>4</v>
      </c>
    </row>
    <row r="34" spans="1:19" ht="15" customHeight="1">
      <c r="A34" s="40" t="s">
        <v>38</v>
      </c>
      <c r="B34" s="1" t="s">
        <v>55</v>
      </c>
      <c r="M34" s="38"/>
      <c r="O34" s="15">
        <f>ROUND(100000/218644.5*G6,0)</f>
        <v>8016</v>
      </c>
      <c r="P34" s="7" t="s">
        <v>4</v>
      </c>
    </row>
    <row r="35" spans="1:19" ht="15" customHeight="1">
      <c r="A35" s="40" t="s">
        <v>38</v>
      </c>
      <c r="B35" s="1" t="s">
        <v>54</v>
      </c>
      <c r="F35" s="39"/>
      <c r="G35" s="39"/>
      <c r="M35" s="38"/>
      <c r="O35" s="7">
        <f>ROUND(G6*3/12,0)</f>
        <v>4381</v>
      </c>
      <c r="P35" s="7" t="s">
        <v>4</v>
      </c>
    </row>
    <row r="36" spans="1:19" ht="15" customHeight="1">
      <c r="A36" s="40" t="s">
        <v>38</v>
      </c>
      <c r="B36" s="1" t="s">
        <v>53</v>
      </c>
      <c r="M36" s="38"/>
      <c r="O36" s="7">
        <f>ROUND(1980/218644.5*G6,0)</f>
        <v>159</v>
      </c>
      <c r="P36" s="7" t="s">
        <v>4</v>
      </c>
    </row>
    <row r="37" spans="1:19" ht="15" customHeight="1">
      <c r="A37" s="40"/>
      <c r="M37" s="38"/>
      <c r="O37" s="44"/>
      <c r="P37" s="7"/>
    </row>
    <row r="38" spans="1:19" ht="15" customHeight="1">
      <c r="A38" s="25" t="s">
        <v>52</v>
      </c>
      <c r="B38" s="7" t="s">
        <v>51</v>
      </c>
      <c r="C38" s="7"/>
      <c r="D38" s="7"/>
      <c r="E38" s="7"/>
      <c r="F38" s="7"/>
      <c r="G38" s="7"/>
      <c r="H38" s="7"/>
      <c r="I38" s="7"/>
      <c r="J38" s="7" t="s">
        <v>34</v>
      </c>
      <c r="K38" s="7"/>
      <c r="L38" s="7"/>
      <c r="M38" s="20">
        <f>ROUND((O39+O40+O41)/1000,2)</f>
        <v>37.72</v>
      </c>
      <c r="N38" s="18"/>
      <c r="O38" s="18" t="s">
        <v>9</v>
      </c>
      <c r="P38" s="19"/>
      <c r="Q38" s="7"/>
      <c r="R38" s="7"/>
    </row>
    <row r="39" spans="1:19" ht="15" customHeight="1">
      <c r="A39" s="40" t="s">
        <v>38</v>
      </c>
      <c r="B39" s="1" t="s">
        <v>50</v>
      </c>
      <c r="M39" s="38"/>
      <c r="O39" s="43">
        <f>ROUND(H17*5009,2)</f>
        <v>35063</v>
      </c>
      <c r="P39" s="1" t="s">
        <v>4</v>
      </c>
    </row>
    <row r="40" spans="1:19" ht="15" customHeight="1">
      <c r="A40" s="40" t="s">
        <v>38</v>
      </c>
      <c r="B40" s="1" t="s">
        <v>49</v>
      </c>
      <c r="E40" s="42">
        <f>H17*1</f>
        <v>7</v>
      </c>
      <c r="F40" s="1" t="s">
        <v>48</v>
      </c>
      <c r="H40" s="1" t="s">
        <v>47</v>
      </c>
      <c r="M40" s="38"/>
      <c r="O40" s="37">
        <f>ROUND(E40*4437/12,0)</f>
        <v>2588</v>
      </c>
      <c r="P40" s="1" t="s">
        <v>4</v>
      </c>
    </row>
    <row r="41" spans="1:19" ht="15" customHeight="1">
      <c r="A41" s="40" t="s">
        <v>38</v>
      </c>
      <c r="B41" s="1" t="s">
        <v>46</v>
      </c>
      <c r="F41" s="42"/>
      <c r="M41" s="38"/>
      <c r="O41" s="37">
        <f>126*7/12</f>
        <v>73.5</v>
      </c>
      <c r="P41" s="1" t="s">
        <v>4</v>
      </c>
      <c r="S41" s="41"/>
    </row>
    <row r="42" spans="1:19" ht="15" customHeight="1">
      <c r="A42" s="40"/>
      <c r="B42" s="23"/>
      <c r="F42" s="39"/>
      <c r="G42" s="39"/>
      <c r="M42" s="38"/>
      <c r="O42" s="37"/>
    </row>
    <row r="43" spans="1:19" ht="15.75">
      <c r="A43" s="25" t="s">
        <v>45</v>
      </c>
      <c r="B43" s="7" t="s">
        <v>44</v>
      </c>
      <c r="C43" s="7"/>
      <c r="D43" s="7"/>
      <c r="E43" s="7"/>
      <c r="F43" s="7"/>
      <c r="G43" s="7"/>
      <c r="H43" s="7"/>
      <c r="I43" s="7"/>
      <c r="J43" s="7"/>
      <c r="K43" s="7"/>
      <c r="L43" s="7"/>
      <c r="M43" s="18">
        <f>ROUND(830.06/287026.2*G6,2)-10.14+10.5+12.78-11.7</f>
        <v>52.120000000000005</v>
      </c>
      <c r="N43" s="18"/>
      <c r="O43" s="18" t="s">
        <v>9</v>
      </c>
      <c r="P43" s="19"/>
      <c r="Q43" s="7"/>
      <c r="R43" s="7"/>
    </row>
    <row r="44" spans="1:19" ht="12.75">
      <c r="A44" s="30" t="s">
        <v>38</v>
      </c>
      <c r="B44" s="28" t="s">
        <v>43</v>
      </c>
      <c r="C44" s="28"/>
      <c r="D44" s="28"/>
      <c r="E44" s="28"/>
      <c r="F44" s="29"/>
      <c r="G44" s="29"/>
      <c r="H44" s="23"/>
      <c r="I44" s="28"/>
      <c r="J44" s="34"/>
      <c r="K44" s="34"/>
      <c r="L44" s="28"/>
      <c r="M44" s="36"/>
      <c r="N44" s="35"/>
      <c r="O44" s="35"/>
      <c r="P44" s="35"/>
      <c r="Q44" s="28"/>
      <c r="R44" s="28"/>
    </row>
    <row r="45" spans="1:19" ht="12.75">
      <c r="A45" s="30" t="s">
        <v>38</v>
      </c>
      <c r="B45" s="28" t="s">
        <v>42</v>
      </c>
      <c r="C45" s="28"/>
      <c r="D45" s="28"/>
      <c r="E45" s="28"/>
      <c r="F45" s="29"/>
      <c r="G45" s="4"/>
      <c r="H45" s="23"/>
      <c r="I45" s="28"/>
      <c r="J45" s="34"/>
      <c r="K45" s="34"/>
      <c r="L45" s="28"/>
      <c r="M45" s="36"/>
      <c r="N45" s="35"/>
      <c r="O45" s="35"/>
      <c r="P45" s="35"/>
      <c r="Q45" s="28"/>
      <c r="R45" s="28"/>
    </row>
    <row r="46" spans="1:19" ht="12.75">
      <c r="A46" s="30" t="s">
        <v>38</v>
      </c>
      <c r="B46" s="28" t="s">
        <v>41</v>
      </c>
      <c r="C46" s="28"/>
      <c r="D46" s="28"/>
      <c r="E46" s="28"/>
      <c r="F46" s="29"/>
      <c r="G46" s="29"/>
      <c r="H46" s="23"/>
      <c r="I46" s="28"/>
      <c r="J46" s="34"/>
      <c r="K46" s="34"/>
      <c r="L46" s="28"/>
      <c r="M46" s="36"/>
      <c r="N46" s="35"/>
      <c r="O46" s="35"/>
      <c r="P46" s="35"/>
      <c r="Q46" s="28"/>
      <c r="R46" s="28"/>
    </row>
    <row r="47" spans="1:19" ht="12.75">
      <c r="A47" s="30" t="s">
        <v>38</v>
      </c>
      <c r="B47" s="28" t="s">
        <v>40</v>
      </c>
      <c r="C47" s="23"/>
      <c r="D47" s="23"/>
      <c r="E47" s="23"/>
      <c r="F47" s="29"/>
      <c r="G47" s="29"/>
      <c r="H47" s="23"/>
      <c r="I47" s="23"/>
      <c r="J47" s="34"/>
      <c r="K47" s="34"/>
      <c r="L47" s="28"/>
      <c r="M47" s="24"/>
      <c r="N47" s="23"/>
      <c r="O47" s="23"/>
      <c r="P47" s="23"/>
      <c r="Q47" s="23"/>
      <c r="R47" s="23"/>
    </row>
    <row r="48" spans="1:19" ht="12.75">
      <c r="A48" s="30" t="s">
        <v>38</v>
      </c>
      <c r="B48" s="28" t="s">
        <v>39</v>
      </c>
      <c r="C48" s="23"/>
      <c r="D48" s="23"/>
      <c r="E48" s="23"/>
      <c r="F48" s="29"/>
      <c r="G48" s="29"/>
      <c r="H48" s="23"/>
      <c r="I48" s="23"/>
      <c r="J48" s="34"/>
      <c r="K48" s="34"/>
      <c r="L48" s="28"/>
      <c r="M48" s="27"/>
      <c r="N48" s="26"/>
      <c r="O48" s="26"/>
      <c r="P48" s="23"/>
      <c r="Q48" s="23"/>
      <c r="R48" s="23"/>
    </row>
    <row r="49" spans="1:18" ht="12.75">
      <c r="A49" s="30" t="s">
        <v>38</v>
      </c>
      <c r="B49" s="28" t="s">
        <v>37</v>
      </c>
      <c r="C49" s="23"/>
      <c r="D49" s="23"/>
      <c r="E49" s="23"/>
      <c r="F49" s="29"/>
      <c r="G49" s="29"/>
      <c r="H49" s="23"/>
      <c r="I49" s="23"/>
      <c r="J49" s="29"/>
      <c r="K49" s="29"/>
      <c r="L49" s="28"/>
      <c r="M49" s="27"/>
      <c r="N49" s="26"/>
      <c r="O49" s="26"/>
      <c r="P49" s="23"/>
      <c r="Q49" s="23"/>
      <c r="R49" s="23"/>
    </row>
    <row r="50" spans="1:18" ht="15" customHeight="1">
      <c r="A50" s="30"/>
      <c r="B50" s="23"/>
      <c r="C50" s="23"/>
      <c r="D50" s="23"/>
      <c r="E50" s="23"/>
      <c r="F50" s="29"/>
      <c r="G50" s="29"/>
      <c r="H50" s="23"/>
      <c r="I50" s="23"/>
      <c r="J50" s="29"/>
      <c r="K50" s="29"/>
      <c r="L50" s="28"/>
      <c r="M50" s="27"/>
      <c r="N50" s="26"/>
      <c r="O50" s="26"/>
      <c r="P50" s="26"/>
      <c r="Q50" s="23"/>
      <c r="R50" s="23"/>
    </row>
    <row r="51" spans="1:18" ht="15" customHeight="1">
      <c r="A51" s="30"/>
      <c r="B51" s="23"/>
      <c r="C51" s="23"/>
      <c r="D51" s="23"/>
      <c r="E51" s="23"/>
      <c r="F51" s="29"/>
      <c r="G51" s="29"/>
      <c r="H51" s="23"/>
      <c r="I51" s="23"/>
      <c r="J51" s="29"/>
      <c r="K51" s="29"/>
      <c r="L51" s="28"/>
      <c r="M51" s="27"/>
      <c r="N51" s="26"/>
      <c r="O51" s="26"/>
      <c r="P51" s="26"/>
      <c r="Q51" s="23"/>
      <c r="R51" s="23"/>
    </row>
    <row r="52" spans="1:18" ht="15.75">
      <c r="A52" s="25" t="s">
        <v>36</v>
      </c>
      <c r="B52" s="33" t="s">
        <v>35</v>
      </c>
      <c r="C52" s="33"/>
      <c r="D52" s="33"/>
      <c r="E52" s="33"/>
      <c r="F52" s="33"/>
      <c r="G52" s="33"/>
      <c r="H52" s="33" t="s">
        <v>34</v>
      </c>
      <c r="I52" s="33"/>
      <c r="M52" s="18">
        <f>ROUND(266.34/287026.2*G6,2)+13.33+(13.25)+2</f>
        <v>44.84</v>
      </c>
      <c r="N52" s="17"/>
      <c r="O52" s="18" t="s">
        <v>9</v>
      </c>
      <c r="P52" s="17"/>
      <c r="R52" s="7"/>
    </row>
    <row r="53" spans="1:18" ht="15.75">
      <c r="A53" s="25"/>
      <c r="B53" s="32"/>
      <c r="C53" s="8"/>
      <c r="D53" s="8"/>
      <c r="E53" s="8"/>
      <c r="F53" s="8"/>
      <c r="G53" s="8"/>
      <c r="H53" s="8"/>
      <c r="I53" s="8"/>
      <c r="M53" s="31"/>
      <c r="N53" s="21"/>
      <c r="O53" s="31"/>
      <c r="P53" s="21"/>
      <c r="R53" s="7"/>
    </row>
    <row r="54" spans="1:18">
      <c r="B54" s="23">
        <v>1</v>
      </c>
      <c r="C54" s="23" t="s">
        <v>33</v>
      </c>
    </row>
    <row r="55" spans="1:18" ht="12.75">
      <c r="A55" s="30"/>
      <c r="B55" s="23">
        <v>2</v>
      </c>
      <c r="C55" s="23" t="s">
        <v>32</v>
      </c>
      <c r="D55" s="23"/>
      <c r="E55" s="23"/>
      <c r="F55" s="29"/>
      <c r="G55" s="29"/>
      <c r="H55" s="23"/>
      <c r="I55" s="23"/>
      <c r="J55" s="29"/>
      <c r="K55" s="29"/>
      <c r="L55" s="28"/>
      <c r="M55" s="27"/>
      <c r="N55" s="26"/>
      <c r="O55" s="26"/>
      <c r="P55" s="23"/>
      <c r="Q55" s="23"/>
      <c r="R55" s="23"/>
    </row>
    <row r="56" spans="1:18" ht="12.75">
      <c r="A56" s="23"/>
      <c r="B56" s="23">
        <v>3</v>
      </c>
      <c r="C56" s="23" t="s">
        <v>31</v>
      </c>
      <c r="D56" s="23"/>
      <c r="E56" s="23"/>
      <c r="F56" s="23"/>
      <c r="G56" s="23"/>
      <c r="H56" s="23"/>
      <c r="I56" s="23"/>
      <c r="J56" s="23"/>
      <c r="K56" s="23"/>
      <c r="L56" s="23"/>
      <c r="M56" s="24"/>
      <c r="N56" s="23"/>
      <c r="O56" s="23"/>
      <c r="P56" s="23"/>
      <c r="Q56" s="23"/>
      <c r="R56" s="23"/>
    </row>
    <row r="57" spans="1:18" ht="12.75">
      <c r="A57" s="23"/>
      <c r="B57" s="23">
        <v>4</v>
      </c>
      <c r="C57" s="23" t="s">
        <v>30</v>
      </c>
      <c r="D57" s="23"/>
      <c r="E57" s="23"/>
      <c r="F57" s="23"/>
      <c r="G57" s="23"/>
      <c r="H57" s="23"/>
      <c r="I57" s="23"/>
      <c r="J57" s="23"/>
      <c r="K57" s="23"/>
      <c r="L57" s="23"/>
      <c r="M57" s="24"/>
      <c r="N57" s="23"/>
      <c r="O57" s="23"/>
      <c r="P57" s="23"/>
      <c r="Q57" s="23"/>
      <c r="R57" s="23"/>
    </row>
    <row r="58" spans="1:18" ht="12.75">
      <c r="A58" s="23"/>
      <c r="B58" s="23">
        <v>4</v>
      </c>
      <c r="C58" s="23" t="s">
        <v>29</v>
      </c>
      <c r="D58" s="23"/>
      <c r="E58" s="23"/>
      <c r="F58" s="23"/>
      <c r="G58" s="23"/>
      <c r="H58" s="23"/>
      <c r="I58" s="23"/>
      <c r="J58" s="23"/>
      <c r="K58" s="23"/>
      <c r="L58" s="23"/>
      <c r="M58" s="24"/>
      <c r="N58" s="23"/>
      <c r="O58" s="23"/>
      <c r="P58" s="23"/>
      <c r="Q58" s="23"/>
      <c r="R58" s="23"/>
    </row>
    <row r="59" spans="1:18" ht="12.75">
      <c r="A59" s="23"/>
      <c r="B59" s="23">
        <v>5</v>
      </c>
      <c r="C59" s="23" t="s">
        <v>28</v>
      </c>
      <c r="D59" s="23"/>
      <c r="E59" s="23"/>
      <c r="F59" s="23"/>
      <c r="G59" s="23"/>
      <c r="H59" s="23"/>
      <c r="I59" s="23"/>
      <c r="J59" s="23"/>
      <c r="K59" s="23"/>
      <c r="L59" s="23"/>
      <c r="M59" s="24"/>
      <c r="N59" s="23"/>
      <c r="O59" s="23"/>
      <c r="P59" s="23"/>
      <c r="Q59" s="23"/>
      <c r="R59" s="23"/>
    </row>
    <row r="60" spans="1:18" ht="12.75">
      <c r="A60" s="30"/>
      <c r="B60" s="23">
        <v>6</v>
      </c>
      <c r="C60" s="23" t="s">
        <v>27</v>
      </c>
      <c r="D60" s="23"/>
      <c r="E60" s="23"/>
      <c r="F60" s="29"/>
      <c r="G60" s="29"/>
      <c r="H60" s="23"/>
      <c r="I60" s="23"/>
      <c r="J60" s="29"/>
      <c r="K60" s="29"/>
      <c r="L60" s="28"/>
      <c r="M60" s="27"/>
      <c r="N60" s="26"/>
      <c r="O60" s="26"/>
      <c r="P60" s="23"/>
      <c r="Q60" s="23"/>
      <c r="R60" s="23"/>
    </row>
    <row r="61" spans="1:18" ht="15.75">
      <c r="A61" s="25" t="s">
        <v>26</v>
      </c>
      <c r="B61" s="7" t="s">
        <v>25</v>
      </c>
      <c r="C61" s="7"/>
      <c r="D61" s="7"/>
      <c r="E61" s="7"/>
      <c r="F61" s="7"/>
      <c r="G61" s="7"/>
      <c r="H61" s="7"/>
      <c r="I61" s="7"/>
      <c r="J61" s="7"/>
      <c r="K61" s="7"/>
      <c r="L61" s="7"/>
      <c r="M61" s="18">
        <f>ROUND(474.17/287026.2*G6,2)+37.88+5.03-4.15</f>
        <v>67.709999999999994</v>
      </c>
      <c r="N61" s="18"/>
      <c r="O61" s="18" t="s">
        <v>9</v>
      </c>
      <c r="P61" s="19"/>
      <c r="Q61" s="7"/>
      <c r="R61" s="7"/>
    </row>
    <row r="62" spans="1:18" ht="12.75">
      <c r="A62" s="23"/>
      <c r="B62" s="23">
        <v>1</v>
      </c>
      <c r="C62" s="23" t="s">
        <v>24</v>
      </c>
      <c r="D62" s="23"/>
      <c r="E62" s="23"/>
      <c r="F62" s="23"/>
      <c r="G62" s="23"/>
      <c r="H62" s="23"/>
      <c r="I62" s="23"/>
      <c r="J62" s="23"/>
      <c r="K62" s="23"/>
      <c r="L62" s="23"/>
      <c r="M62" s="24"/>
      <c r="N62" s="23"/>
      <c r="O62" s="23"/>
      <c r="P62" s="23"/>
      <c r="Q62" s="23"/>
      <c r="R62" s="23"/>
    </row>
    <row r="63" spans="1:18" ht="12.75">
      <c r="A63" s="23"/>
      <c r="B63" s="23">
        <v>2</v>
      </c>
      <c r="C63" s="23" t="s">
        <v>23</v>
      </c>
      <c r="D63" s="23"/>
      <c r="E63" s="23"/>
      <c r="F63" s="23"/>
      <c r="G63" s="23"/>
      <c r="H63" s="23"/>
      <c r="I63" s="23"/>
      <c r="J63" s="23"/>
      <c r="K63" s="23"/>
      <c r="L63" s="23"/>
      <c r="M63" s="24"/>
      <c r="N63" s="23"/>
      <c r="O63" s="23"/>
      <c r="P63" s="23"/>
      <c r="Q63" s="23"/>
      <c r="R63" s="23"/>
    </row>
    <row r="64" spans="1:18" ht="12.75">
      <c r="A64" s="23"/>
      <c r="B64" s="23">
        <v>3</v>
      </c>
      <c r="C64" s="23" t="s">
        <v>22</v>
      </c>
      <c r="D64" s="23"/>
      <c r="E64" s="23"/>
      <c r="F64" s="23"/>
      <c r="G64" s="23"/>
      <c r="H64" s="23"/>
      <c r="I64" s="23"/>
      <c r="J64" s="23"/>
      <c r="K64" s="23"/>
      <c r="L64" s="23"/>
      <c r="M64" s="24"/>
      <c r="N64" s="23"/>
      <c r="O64" s="23"/>
      <c r="P64" s="23"/>
      <c r="Q64" s="23"/>
      <c r="R64" s="23"/>
    </row>
    <row r="65" spans="1:18" ht="12.75">
      <c r="A65" s="23"/>
      <c r="B65" s="23">
        <v>4</v>
      </c>
      <c r="C65" s="23" t="s">
        <v>21</v>
      </c>
      <c r="D65" s="23"/>
      <c r="E65" s="23"/>
      <c r="F65" s="23"/>
      <c r="G65" s="23"/>
      <c r="H65" s="23"/>
      <c r="I65" s="23"/>
      <c r="J65" s="23"/>
      <c r="K65" s="23"/>
      <c r="L65" s="23"/>
      <c r="M65" s="24"/>
      <c r="N65" s="23"/>
      <c r="O65" s="23"/>
      <c r="P65" s="23"/>
      <c r="Q65" s="23"/>
      <c r="R65" s="23"/>
    </row>
    <row r="66" spans="1:18" ht="12.75">
      <c r="A66" s="23"/>
      <c r="B66" s="23">
        <v>5</v>
      </c>
      <c r="C66" s="23" t="s">
        <v>20</v>
      </c>
      <c r="D66" s="23"/>
      <c r="E66" s="23"/>
      <c r="F66" s="23"/>
      <c r="G66" s="23"/>
      <c r="H66" s="23"/>
      <c r="I66" s="23"/>
      <c r="J66" s="23"/>
      <c r="K66" s="23"/>
      <c r="L66" s="23"/>
      <c r="M66" s="24"/>
      <c r="N66" s="23"/>
      <c r="O66" s="23"/>
      <c r="P66" s="23"/>
      <c r="Q66" s="23"/>
      <c r="R66" s="23"/>
    </row>
    <row r="67" spans="1:18" ht="12.75">
      <c r="A67" s="23"/>
      <c r="B67" s="23">
        <v>6</v>
      </c>
      <c r="C67" s="23" t="s">
        <v>19</v>
      </c>
      <c r="D67" s="23"/>
      <c r="E67" s="23"/>
      <c r="F67" s="23"/>
      <c r="G67" s="23"/>
      <c r="H67" s="23"/>
      <c r="I67" s="23"/>
      <c r="J67" s="23"/>
      <c r="K67" s="23"/>
      <c r="L67" s="23"/>
      <c r="M67" s="24"/>
      <c r="N67" s="23"/>
      <c r="O67" s="23"/>
      <c r="P67" s="23"/>
      <c r="Q67" s="23"/>
      <c r="R67" s="23"/>
    </row>
    <row r="68" spans="1:18" ht="12.75">
      <c r="A68" s="23"/>
      <c r="B68" s="23">
        <v>7</v>
      </c>
      <c r="C68" s="23" t="s">
        <v>18</v>
      </c>
      <c r="D68" s="23"/>
      <c r="E68" s="23"/>
      <c r="F68" s="23"/>
      <c r="G68" s="23"/>
      <c r="H68" s="23"/>
      <c r="I68" s="23"/>
      <c r="J68" s="23"/>
      <c r="K68" s="23"/>
      <c r="L68" s="23"/>
      <c r="M68" s="24"/>
      <c r="N68" s="23"/>
      <c r="O68" s="23"/>
      <c r="P68" s="23"/>
      <c r="Q68" s="23"/>
      <c r="R68" s="23"/>
    </row>
    <row r="69" spans="1:18" ht="12.75">
      <c r="A69" s="23"/>
      <c r="B69" s="23">
        <v>8</v>
      </c>
      <c r="C69" s="23" t="s">
        <v>17</v>
      </c>
      <c r="D69" s="23"/>
      <c r="E69" s="23"/>
      <c r="F69" s="23"/>
      <c r="G69" s="23"/>
      <c r="H69" s="23"/>
      <c r="I69" s="23"/>
      <c r="J69" s="23"/>
      <c r="K69" s="23"/>
      <c r="L69" s="23"/>
      <c r="M69" s="24"/>
      <c r="N69" s="23"/>
      <c r="O69" s="23"/>
      <c r="P69" s="23"/>
      <c r="Q69" s="23"/>
      <c r="R69" s="23"/>
    </row>
    <row r="70" spans="1:18" ht="12.75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4"/>
      <c r="N70" s="23"/>
      <c r="O70" s="23"/>
      <c r="P70" s="23"/>
      <c r="Q70" s="23"/>
      <c r="R70" s="23"/>
    </row>
    <row r="71" spans="1:18" ht="15.75">
      <c r="A71" s="7" t="s">
        <v>16</v>
      </c>
      <c r="B71" s="7" t="s">
        <v>15</v>
      </c>
      <c r="M71" s="18">
        <f>ROUND(80.05/218664.5*G6,2)</f>
        <v>6.42</v>
      </c>
      <c r="N71" s="17"/>
      <c r="O71" s="18" t="s">
        <v>9</v>
      </c>
      <c r="P71" s="17"/>
    </row>
    <row r="72" spans="1:18" ht="15.75">
      <c r="A72" s="7"/>
      <c r="B72" s="7"/>
      <c r="M72" s="14"/>
      <c r="N72" s="21"/>
      <c r="O72" s="14"/>
      <c r="P72" s="21"/>
    </row>
    <row r="73" spans="1:18" ht="15.75">
      <c r="A73" s="7"/>
      <c r="B73" s="5" t="s">
        <v>5</v>
      </c>
      <c r="C73" s="7"/>
      <c r="D73" s="7"/>
      <c r="E73" s="7"/>
      <c r="F73" s="7"/>
      <c r="G73" s="7"/>
      <c r="H73" s="7"/>
      <c r="I73" s="7"/>
      <c r="J73" s="7"/>
      <c r="K73" s="7"/>
      <c r="L73" s="7"/>
      <c r="M73" s="20">
        <f>M21+M32+M38+M43+M52+M61+M71</f>
        <v>267.8</v>
      </c>
      <c r="N73" s="18"/>
      <c r="O73" s="18" t="s">
        <v>9</v>
      </c>
      <c r="P73" s="18"/>
      <c r="Q73" s="7"/>
      <c r="R73" s="15"/>
    </row>
    <row r="74" spans="1:18" ht="15.75">
      <c r="A74" s="7"/>
      <c r="B74" s="5"/>
      <c r="C74" s="7"/>
      <c r="D74" s="7"/>
      <c r="E74" s="7"/>
      <c r="F74" s="7"/>
      <c r="G74" s="7"/>
      <c r="H74" s="7"/>
      <c r="I74" s="7"/>
      <c r="J74" s="7"/>
      <c r="K74" s="7"/>
      <c r="L74" s="7"/>
      <c r="M74" s="16"/>
      <c r="N74" s="14"/>
      <c r="O74" s="14"/>
      <c r="P74" s="14"/>
      <c r="Q74" s="7"/>
      <c r="R74" s="7"/>
    </row>
    <row r="75" spans="1:18" s="7" customFormat="1" ht="15.75">
      <c r="B75" s="5" t="s">
        <v>14</v>
      </c>
      <c r="M75" s="20">
        <f>ROUND(M73*7/100,2)</f>
        <v>18.75</v>
      </c>
      <c r="N75" s="18"/>
      <c r="O75" s="19" t="s">
        <v>9</v>
      </c>
      <c r="P75" s="18"/>
    </row>
    <row r="76" spans="1:18">
      <c r="M76" s="22"/>
      <c r="N76" s="21"/>
      <c r="O76" s="21"/>
      <c r="P76" s="21"/>
    </row>
    <row r="77" spans="1:18" ht="15.75">
      <c r="B77" s="5" t="s">
        <v>13</v>
      </c>
      <c r="M77" s="20">
        <f>M73+M75</f>
        <v>286.55</v>
      </c>
      <c r="N77" s="18"/>
      <c r="O77" s="19" t="s">
        <v>9</v>
      </c>
      <c r="P77" s="18"/>
    </row>
    <row r="78" spans="1:18" ht="15.75">
      <c r="B78" s="5"/>
      <c r="M78" s="16"/>
      <c r="N78" s="14"/>
      <c r="O78" s="15"/>
      <c r="P78" s="14"/>
    </row>
    <row r="79" spans="1:18" s="7" customFormat="1" ht="15.75">
      <c r="A79" s="7" t="s">
        <v>12</v>
      </c>
      <c r="B79" s="7" t="s">
        <v>11</v>
      </c>
      <c r="M79" s="18">
        <f>ROUND((10413.29+2427.95+47802.8)/1000,2)</f>
        <v>60.64</v>
      </c>
      <c r="N79" s="17"/>
      <c r="O79" s="18" t="s">
        <v>9</v>
      </c>
      <c r="P79" s="17"/>
    </row>
    <row r="80" spans="1:18" ht="16.5" thickBot="1">
      <c r="B80" s="5"/>
      <c r="M80" s="16"/>
      <c r="N80" s="14"/>
      <c r="O80" s="15"/>
      <c r="P80" s="14"/>
    </row>
    <row r="81" spans="1:18" ht="16.5" thickBot="1">
      <c r="B81" s="5" t="s">
        <v>10</v>
      </c>
      <c r="M81" s="13">
        <f>M77+M79</f>
        <v>347.19</v>
      </c>
      <c r="N81" s="12"/>
      <c r="O81" s="11" t="s">
        <v>9</v>
      </c>
      <c r="P81" s="10"/>
    </row>
    <row r="83" spans="1:18" s="4" customFormat="1" ht="15">
      <c r="A83" s="7"/>
      <c r="B83" s="7" t="s">
        <v>8</v>
      </c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</row>
    <row r="84" spans="1:18" s="4" customFormat="1" ht="15.75">
      <c r="A84" s="7"/>
      <c r="B84" s="7" t="s">
        <v>7</v>
      </c>
      <c r="C84" s="7"/>
      <c r="D84" s="7"/>
      <c r="E84" s="7"/>
      <c r="F84" s="7"/>
      <c r="G84" s="7"/>
      <c r="H84" s="7"/>
      <c r="I84" s="7"/>
      <c r="J84" s="7"/>
      <c r="K84" s="7"/>
      <c r="L84" s="9">
        <f>ROUND(G6*17.31,2)</f>
        <v>303373.33</v>
      </c>
      <c r="M84" s="9"/>
      <c r="N84" s="8" t="s">
        <v>4</v>
      </c>
      <c r="O84" s="7"/>
      <c r="P84" s="7"/>
      <c r="Q84" s="7"/>
    </row>
    <row r="85" spans="1:18" s="4" customFormat="1" ht="15" customHeight="1">
      <c r="A85" s="7"/>
      <c r="B85" s="7" t="s">
        <v>6</v>
      </c>
      <c r="C85" s="7"/>
      <c r="D85" s="7"/>
      <c r="E85" s="7"/>
      <c r="F85" s="7"/>
      <c r="G85" s="7"/>
      <c r="H85" s="7"/>
      <c r="I85" s="7"/>
      <c r="J85" s="7"/>
      <c r="K85" s="7"/>
      <c r="L85" s="9">
        <f>ROUND(G6*2.5,2)</f>
        <v>43814.75</v>
      </c>
      <c r="M85" s="9"/>
      <c r="N85" s="8" t="s">
        <v>4</v>
      </c>
      <c r="O85" s="7"/>
      <c r="P85" s="7"/>
      <c r="Q85" s="7"/>
      <c r="R85" s="7"/>
    </row>
    <row r="86" spans="1:18" s="4" customFormat="1" ht="15.75">
      <c r="A86" s="5"/>
      <c r="B86" s="5" t="s">
        <v>5</v>
      </c>
      <c r="C86" s="5"/>
      <c r="D86" s="5"/>
      <c r="E86" s="5"/>
      <c r="F86" s="5"/>
      <c r="G86" s="5"/>
      <c r="H86" s="5"/>
      <c r="I86" s="5"/>
      <c r="J86" s="5"/>
      <c r="K86" s="5"/>
      <c r="L86" s="9">
        <f>SUM(L84:M85)</f>
        <v>347188.08</v>
      </c>
      <c r="M86" s="9"/>
      <c r="N86" s="8" t="s">
        <v>4</v>
      </c>
      <c r="O86" s="5"/>
      <c r="P86" s="5"/>
      <c r="Q86" s="5"/>
      <c r="R86" s="5"/>
    </row>
    <row r="87" spans="1:18" s="4" customFormat="1" ht="1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</row>
    <row r="88" spans="1:18" ht="15.75">
      <c r="A88" s="3"/>
      <c r="B88" s="6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</row>
    <row r="89" spans="1:18" ht="15.75">
      <c r="A89" s="3"/>
      <c r="B89" s="6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</row>
    <row r="90" spans="1:18" ht="15.75">
      <c r="A90" s="3"/>
      <c r="B90" s="6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</row>
    <row r="91" spans="1:18" s="4" customFormat="1" ht="15.75">
      <c r="A91" s="5"/>
      <c r="B91" s="2" t="s">
        <v>3</v>
      </c>
      <c r="C91" s="5"/>
      <c r="D91" s="5"/>
      <c r="E91" s="5"/>
      <c r="F91" s="5"/>
      <c r="G91" s="5"/>
      <c r="H91" s="5"/>
      <c r="I91" s="5"/>
      <c r="J91" s="5"/>
      <c r="K91" s="5" t="s">
        <v>2</v>
      </c>
      <c r="L91" s="5"/>
      <c r="M91" s="5"/>
      <c r="N91" s="5"/>
      <c r="O91" s="5"/>
      <c r="P91" s="5"/>
      <c r="Q91" s="5"/>
      <c r="R91" s="5"/>
    </row>
    <row r="92" spans="1:18" ht="1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</row>
    <row r="93" spans="1:18" ht="15.75">
      <c r="E93" s="2" t="s">
        <v>1</v>
      </c>
      <c r="M93" s="2" t="s">
        <v>0</v>
      </c>
    </row>
  </sheetData>
  <mergeCells count="24">
    <mergeCell ref="J48:K48"/>
    <mergeCell ref="B52:G52"/>
    <mergeCell ref="H52:I52"/>
    <mergeCell ref="L84:M84"/>
    <mergeCell ref="L85:M85"/>
    <mergeCell ref="L86:M86"/>
    <mergeCell ref="E23:F23"/>
    <mergeCell ref="E24:F24"/>
    <mergeCell ref="J44:K44"/>
    <mergeCell ref="J45:K45"/>
    <mergeCell ref="J46:K46"/>
    <mergeCell ref="J47:K47"/>
    <mergeCell ref="G9:H9"/>
    <mergeCell ref="G10:H10"/>
    <mergeCell ref="G11:H11"/>
    <mergeCell ref="G12:H12"/>
    <mergeCell ref="G13:H13"/>
    <mergeCell ref="G15:H15"/>
    <mergeCell ref="G2:I2"/>
    <mergeCell ref="B3:M3"/>
    <mergeCell ref="D4:M4"/>
    <mergeCell ref="G6:H6"/>
    <mergeCell ref="G7:H7"/>
    <mergeCell ref="G8:H8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31 "А" Аэрофлот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2022-03-29T12:44:04Z</dcterms:created>
  <dcterms:modified xsi:type="dcterms:W3CDTF">2022-03-29T12:45:47Z</dcterms:modified>
</cp:coreProperties>
</file>