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Расчеты расходов на обслуживание\"/>
    </mc:Choice>
  </mc:AlternateContent>
  <bookViews>
    <workbookView xWindow="0" yWindow="0" windowWidth="19170" windowHeight="11520"/>
  </bookViews>
  <sheets>
    <sheet name="26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 s="1"/>
  <c r="M77" i="1"/>
  <c r="M75" i="1"/>
  <c r="M65" i="1"/>
  <c r="M56" i="1"/>
  <c r="M46" i="1"/>
  <c r="O44" i="1"/>
  <c r="O43" i="1"/>
  <c r="M41" i="1" s="1"/>
  <c r="E43" i="1"/>
  <c r="O42" i="1"/>
  <c r="O40" i="1"/>
  <c r="O39" i="1"/>
  <c r="O37" i="1"/>
  <c r="O36" i="1"/>
  <c r="O35" i="1"/>
  <c r="O34" i="1"/>
  <c r="M33" i="1"/>
  <c r="O31" i="1"/>
  <c r="O30" i="1"/>
  <c r="O29" i="1"/>
  <c r="J27" i="1"/>
  <c r="O27" i="1" s="1"/>
  <c r="O26" i="1"/>
  <c r="O23" i="1"/>
  <c r="C23" i="1"/>
  <c r="G14" i="1"/>
  <c r="C25" i="1" s="1"/>
  <c r="O25" i="1" s="1"/>
  <c r="G13" i="1"/>
  <c r="C24" i="1" s="1"/>
  <c r="O24" i="1" s="1"/>
  <c r="O22" i="1" s="1"/>
  <c r="M21" i="1" l="1"/>
  <c r="M79" i="1" s="1"/>
  <c r="O28" i="1"/>
  <c r="M83" i="1" l="1"/>
  <c r="M81" i="1"/>
</calcChain>
</file>

<file path=xl/sharedStrings.xml><?xml version="1.0" encoding="utf-8"?>
<sst xmlns="http://schemas.openxmlformats.org/spreadsheetml/2006/main" count="153" uniqueCount="97">
  <si>
    <t>Приложение  № 3</t>
  </si>
  <si>
    <t>РАСЧЁТ</t>
  </si>
  <si>
    <t>расходов на обслуживание д.26 по ул. Зубковой</t>
  </si>
  <si>
    <t>в  разрезе  1  месяца с 01.11.2018 года</t>
  </si>
  <si>
    <t xml:space="preserve">S  общ. </t>
  </si>
  <si>
    <t>начислений</t>
  </si>
  <si>
    <r>
      <t>м</t>
    </r>
    <r>
      <rPr>
        <vertAlign val="superscript"/>
        <sz val="11"/>
        <rFont val="Arial"/>
        <family val="2"/>
        <charset val="204"/>
      </rPr>
      <t>2</t>
    </r>
  </si>
  <si>
    <t>S  общ.вход.в состав общ.имущ.</t>
  </si>
  <si>
    <t>S  т/подполья</t>
  </si>
  <si>
    <t>S  уборочная  л/кл.</t>
  </si>
  <si>
    <t>S  уборочная: газон</t>
  </si>
  <si>
    <t>тротуар</t>
  </si>
  <si>
    <t>Кол-во  дворников:</t>
  </si>
  <si>
    <t>Кол-во уборщиц:</t>
  </si>
  <si>
    <t>Кол-во мусоропр.</t>
  </si>
  <si>
    <t>Кол-во  проживающих:</t>
  </si>
  <si>
    <t>Кол-во  подъездов:</t>
  </si>
  <si>
    <t xml:space="preserve">Кол-во  лифтов:               </t>
  </si>
  <si>
    <t>по 9 эт</t>
  </si>
  <si>
    <t>Содержание  общего  имущества:</t>
  </si>
  <si>
    <t>I.</t>
  </si>
  <si>
    <t>Благоустройство  и  сан. очистка  домовладения: всего:</t>
  </si>
  <si>
    <t>тыс. руб.</t>
  </si>
  <si>
    <t>Зарплата:</t>
  </si>
  <si>
    <t>руб.</t>
  </si>
  <si>
    <t>•</t>
  </si>
  <si>
    <t>дворники:</t>
  </si>
  <si>
    <t xml:space="preserve">ед. </t>
  </si>
  <si>
    <t>уборщицы</t>
  </si>
  <si>
    <t>мусоропр.</t>
  </si>
  <si>
    <t>Доплата за погрузку мусора</t>
  </si>
  <si>
    <t xml:space="preserve">Доплата за уборку кабинок лифта </t>
  </si>
  <si>
    <t>руб. х</t>
  </si>
  <si>
    <t>Начисления  на  з/плату</t>
  </si>
  <si>
    <t>%</t>
  </si>
  <si>
    <t>С/о,  инвентарь, приобретение  моющих  средств  и  песко-соляной смеси:</t>
  </si>
  <si>
    <t>Прочие расходы (з-ты на уборку снега и окос)</t>
  </si>
  <si>
    <t>Затраты на вывоз КГМ</t>
  </si>
  <si>
    <t>II.</t>
  </si>
  <si>
    <t>Содержание  домохозяйства:       всего:</t>
  </si>
  <si>
    <t>вывоз ТБО</t>
  </si>
  <si>
    <t>захоронение  ТБО</t>
  </si>
  <si>
    <t>дератизация, дезинсекция</t>
  </si>
  <si>
    <t>услуга АРС (Аварийно-ремонтной службы)</t>
  </si>
  <si>
    <t>Рязаньгоргаз</t>
  </si>
  <si>
    <t>Проверка вент.каналов</t>
  </si>
  <si>
    <t>Тех.диагн.внутрид.газового обор.</t>
  </si>
  <si>
    <t>III.</t>
  </si>
  <si>
    <t xml:space="preserve">Содержание и ремонт лифтового хозяйства:  </t>
  </si>
  <si>
    <t>всего:</t>
  </si>
  <si>
    <t>технич. обслужив. ( 16 лифтов)</t>
  </si>
  <si>
    <t>технич. освидет.    (</t>
  </si>
  <si>
    <t>лифтов</t>
  </si>
  <si>
    <t>)</t>
  </si>
  <si>
    <t xml:space="preserve">страхование лифтов </t>
  </si>
  <si>
    <t>IV.</t>
  </si>
  <si>
    <t>Тех. обслуживание и текущий ремонт общедомового имущ.</t>
  </si>
  <si>
    <t>З/плата  рабочих, начисления на з/плату</t>
  </si>
  <si>
    <t>Материалы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</si>
  <si>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</si>
  <si>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</si>
  <si>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</si>
  <si>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</si>
  <si>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V.</t>
  </si>
  <si>
    <t>Прочие прямые затраты: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</si>
  <si>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</si>
  <si>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</si>
  <si>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</si>
  <si>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</si>
  <si>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Т/о, страхование а/м, освидет. водителей</t>
  </si>
  <si>
    <t>Услуги банка</t>
  </si>
  <si>
    <t>Гос.пошлина, БТИ</t>
  </si>
  <si>
    <t>VI.</t>
  </si>
  <si>
    <t>Общеэксплуатационные  расходы              всего: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</si>
  <si>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</si>
  <si>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</si>
  <si>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</si>
  <si>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ремонт помещений АУП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</si>
  <si>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</si>
  <si>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</si>
  <si>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</si>
  <si>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а/м (аренда, з/плата водителя, ГСМ, з/ч)</t>
  </si>
  <si>
    <t>VII.</t>
  </si>
  <si>
    <t>Внеэксплуатационные расходы (налоги):</t>
  </si>
  <si>
    <t>VIII.</t>
  </si>
  <si>
    <t>Расходы по ОДН (ГВС,ХВС, эл.эн.)</t>
  </si>
  <si>
    <t>Итого:</t>
  </si>
  <si>
    <t>Рентабельность</t>
  </si>
  <si>
    <t>Всего  расходов:</t>
  </si>
  <si>
    <t>Доходы:</t>
  </si>
  <si>
    <t>Начислено по содержанию  жилья:</t>
  </si>
  <si>
    <t>Прочие доходы:</t>
  </si>
  <si>
    <t>ОДН</t>
  </si>
  <si>
    <t>Директор  ООО «Вектор Плюс»</t>
  </si>
  <si>
    <t xml:space="preserve">Уполномоченный представитель </t>
  </si>
  <si>
    <t>старший по дому</t>
  </si>
  <si>
    <t>Радин В.Е.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</si>
</sst>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u/>
      <sz val="11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0"/>
      <name val="Arial"/>
      <family val="2"/>
      <charset val="204"/>
    </font>
    <font>
      <b/>
      <sz val="11"/>
      <name val="BernhardFashion BT"/>
      <family val="5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2" fontId="9" fillId="0" borderId="1" xfId="0" applyNumberFormat="1" applyFont="1" applyBorder="1"/>
    <xf numFmtId="0" fontId="9" fillId="0" borderId="1" xfId="0" applyFont="1" applyBorder="1"/>
    <xf numFmtId="0" fontId="8" fillId="0" borderId="1" xfId="0" applyFont="1" applyBorder="1"/>
    <xf numFmtId="10" fontId="8" fillId="0" borderId="0" xfId="0" applyNumberFormat="1" applyFont="1"/>
    <xf numFmtId="0" fontId="10" fillId="0" borderId="0" xfId="0" applyFont="1"/>
    <xf numFmtId="164" fontId="2" fillId="0" borderId="0" xfId="0" applyNumberFormat="1" applyFont="1"/>
    <xf numFmtId="1" fontId="8" fillId="0" borderId="0" xfId="0" applyNumberFormat="1" applyFont="1"/>
    <xf numFmtId="0" fontId="11" fillId="0" borderId="0" xfId="0" applyFont="1"/>
    <xf numFmtId="0" fontId="2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2" fillId="0" borderId="0" xfId="0" applyNumberFormat="1" applyFont="1"/>
    <xf numFmtId="0" fontId="12" fillId="0" borderId="0" xfId="0" applyFont="1"/>
    <xf numFmtId="164" fontId="12" fillId="0" borderId="0" xfId="0" applyNumberFormat="1" applyFont="1"/>
    <xf numFmtId="0" fontId="8" fillId="0" borderId="0" xfId="0" applyFont="1" applyAlignment="1"/>
    <xf numFmtId="9" fontId="8" fillId="0" borderId="0" xfId="0" applyNumberFormat="1" applyFont="1"/>
    <xf numFmtId="1" fontId="8" fillId="0" borderId="0" xfId="0" applyNumberFormat="1" applyFont="1" applyBorder="1"/>
    <xf numFmtId="0" fontId="8" fillId="0" borderId="0" xfId="0" applyFont="1" applyBorder="1"/>
    <xf numFmtId="2" fontId="0" fillId="0" borderId="0" xfId="0" applyNumberForma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164" fontId="1" fillId="0" borderId="0" xfId="0" applyNumberFormat="1" applyFont="1" applyBorder="1"/>
    <xf numFmtId="0" fontId="1" fillId="0" borderId="0" xfId="0" applyFont="1" applyBorder="1"/>
    <xf numFmtId="0" fontId="15" fillId="0" borderId="0" xfId="0" applyFont="1" applyAlignment="1">
      <alignment horizontal="right"/>
    </xf>
    <xf numFmtId="2" fontId="5" fillId="0" borderId="0" xfId="0" applyNumberFormat="1" applyFont="1" applyBorder="1"/>
    <xf numFmtId="0" fontId="5" fillId="0" borderId="0" xfId="0" applyFont="1" applyBorder="1"/>
    <xf numFmtId="0" fontId="8" fillId="0" borderId="0" xfId="0" applyFont="1" applyAlignment="1">
      <alignment horizontal="left"/>
    </xf>
    <xf numFmtId="0" fontId="2" fillId="0" borderId="1" xfId="0" applyFont="1" applyBorder="1"/>
    <xf numFmtId="2" fontId="8" fillId="0" borderId="0" xfId="0" applyNumberFormat="1" applyFont="1"/>
    <xf numFmtId="0" fontId="9" fillId="0" borderId="2" xfId="0" applyFont="1" applyBorder="1"/>
    <xf numFmtId="0" fontId="2" fillId="0" borderId="2" xfId="0" applyFont="1" applyBorder="1"/>
    <xf numFmtId="0" fontId="9" fillId="0" borderId="0" xfId="0" applyFont="1" applyBorder="1"/>
    <xf numFmtId="0" fontId="2" fillId="0" borderId="0" xfId="0" applyFont="1" applyBorder="1"/>
    <xf numFmtId="0" fontId="9" fillId="0" borderId="0" xfId="0" applyFont="1"/>
    <xf numFmtId="2" fontId="9" fillId="0" borderId="3" xfId="0" applyNumberFormat="1" applyFont="1" applyBorder="1"/>
    <xf numFmtId="0" fontId="9" fillId="0" borderId="4" xfId="0" applyFont="1" applyBorder="1"/>
    <xf numFmtId="0" fontId="9" fillId="0" borderId="5" xfId="0" applyFont="1" applyBorder="1"/>
    <xf numFmtId="2" fontId="9" fillId="0" borderId="0" xfId="0" applyNumberFormat="1" applyFont="1" applyBorder="1"/>
    <xf numFmtId="2" fontId="2" fillId="0" borderId="0" xfId="0" applyNumberFormat="1" applyFont="1"/>
    <xf numFmtId="4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98"/>
  <sheetViews>
    <sheetView tabSelected="1" workbookViewId="0">
      <selection activeCell="I102" sqref="I102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4.85546875" style="1" customWidth="1"/>
    <col min="11" max="11" width="8.42578125" style="1" customWidth="1"/>
    <col min="12" max="12" width="3" style="1" customWidth="1"/>
    <col min="13" max="13" width="13.140625" style="1" customWidth="1"/>
    <col min="14" max="14" width="1.42578125" style="1" customWidth="1"/>
    <col min="15" max="15" width="8.7109375" style="1" customWidth="1"/>
    <col min="16" max="16" width="4.7109375" style="1" customWidth="1"/>
    <col min="17" max="17" width="1.7109375" style="1" customWidth="1"/>
    <col min="18" max="18" width="10.85546875" style="1" customWidth="1"/>
  </cols>
  <sheetData>
    <row r="1" spans="1:18">
      <c r="M1" s="2" t="s">
        <v>0</v>
      </c>
      <c r="N1" s="2"/>
      <c r="O1" s="2"/>
    </row>
    <row r="2" spans="1:18" ht="18">
      <c r="G2" s="3" t="s">
        <v>1</v>
      </c>
      <c r="H2" s="3"/>
      <c r="I2" s="3"/>
    </row>
    <row r="3" spans="1:18" ht="15">
      <c r="A3" s="4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4"/>
      <c r="Q3" s="4"/>
      <c r="R3" s="4"/>
    </row>
    <row r="4" spans="1:18" ht="15">
      <c r="A4" s="4"/>
      <c r="B4" s="4"/>
      <c r="C4" s="4"/>
      <c r="D4" s="5" t="s">
        <v>3</v>
      </c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</row>
    <row r="6" spans="1:18" ht="15" customHeight="1">
      <c r="A6" s="1" t="s">
        <v>4</v>
      </c>
      <c r="C6" s="1" t="s">
        <v>5</v>
      </c>
      <c r="G6" s="6">
        <v>34362</v>
      </c>
      <c r="H6" s="6"/>
      <c r="I6" s="1" t="s">
        <v>6</v>
      </c>
    </row>
    <row r="7" spans="1:18" ht="15" customHeight="1">
      <c r="A7" s="1" t="s">
        <v>7</v>
      </c>
      <c r="G7" s="6">
        <v>3909.75</v>
      </c>
      <c r="H7" s="6"/>
      <c r="I7" s="1" t="s">
        <v>6</v>
      </c>
    </row>
    <row r="8" spans="1:18" ht="15" customHeight="1">
      <c r="A8" s="1" t="s">
        <v>8</v>
      </c>
      <c r="G8" s="6">
        <v>5413.1</v>
      </c>
      <c r="H8" s="6"/>
      <c r="I8" s="1" t="s">
        <v>6</v>
      </c>
    </row>
    <row r="9" spans="1:18" ht="15" customHeight="1">
      <c r="A9" s="1" t="s">
        <v>9</v>
      </c>
      <c r="G9" s="6">
        <v>3804</v>
      </c>
      <c r="H9" s="6"/>
      <c r="I9" s="1" t="s">
        <v>6</v>
      </c>
    </row>
    <row r="10" spans="1:18" ht="15" customHeight="1">
      <c r="A10" s="1" t="s">
        <v>10</v>
      </c>
      <c r="G10" s="6">
        <v>15508</v>
      </c>
      <c r="H10" s="6"/>
      <c r="I10" s="1" t="s">
        <v>6</v>
      </c>
    </row>
    <row r="11" spans="1:18" ht="15" customHeight="1">
      <c r="B11" s="1" t="s">
        <v>11</v>
      </c>
      <c r="G11" s="6">
        <v>5330.18</v>
      </c>
      <c r="H11" s="6"/>
      <c r="I11" s="1" t="s">
        <v>6</v>
      </c>
    </row>
    <row r="12" spans="1:18" ht="15" customHeight="1">
      <c r="A12" s="1" t="s">
        <v>12</v>
      </c>
      <c r="G12" s="6">
        <v>1.99</v>
      </c>
      <c r="H12" s="6"/>
      <c r="I12" s="7"/>
    </row>
    <row r="13" spans="1:18" ht="15" customHeight="1">
      <c r="A13" s="1" t="s">
        <v>13</v>
      </c>
      <c r="G13" s="6">
        <f>4/2/2</f>
        <v>1</v>
      </c>
      <c r="H13" s="6"/>
      <c r="I13" s="7"/>
    </row>
    <row r="14" spans="1:18" ht="15" customHeight="1">
      <c r="A14" s="1" t="s">
        <v>14</v>
      </c>
      <c r="G14" s="6">
        <f>1.35/1.5</f>
        <v>0.9</v>
      </c>
      <c r="H14" s="6"/>
      <c r="I14" s="7"/>
    </row>
    <row r="15" spans="1:18" ht="15" customHeight="1">
      <c r="A15" s="1" t="s">
        <v>15</v>
      </c>
      <c r="G15" s="6">
        <v>1601</v>
      </c>
      <c r="H15" s="6"/>
      <c r="I15" s="7"/>
    </row>
    <row r="16" spans="1:18" ht="15" customHeight="1">
      <c r="A16" s="1" t="s">
        <v>16</v>
      </c>
      <c r="G16" s="7"/>
      <c r="H16" s="8">
        <v>16</v>
      </c>
      <c r="I16" s="7"/>
    </row>
    <row r="17" spans="1:18" ht="15" customHeight="1">
      <c r="A17" s="1" t="s">
        <v>17</v>
      </c>
      <c r="G17" s="7"/>
      <c r="H17" s="8">
        <v>16</v>
      </c>
      <c r="I17" s="8" t="s">
        <v>18</v>
      </c>
    </row>
    <row r="18" spans="1:18" ht="15" customHeight="1">
      <c r="G18" s="7"/>
      <c r="H18" s="8"/>
      <c r="I18" s="8"/>
    </row>
    <row r="19" spans="1:18" ht="15" customHeight="1">
      <c r="B19" s="9" t="s">
        <v>19</v>
      </c>
      <c r="G19" s="7"/>
      <c r="H19" s="8"/>
      <c r="I19" s="8"/>
    </row>
    <row r="20" spans="1:18" ht="15" customHeight="1"/>
    <row r="21" spans="1:18" ht="15" customHeight="1">
      <c r="A21" s="10" t="s">
        <v>20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>
        <f>ROUND((O22+O28+O29+O30+O31)/1000,2)</f>
        <v>98.94</v>
      </c>
      <c r="N21" s="13"/>
      <c r="O21" s="13" t="s">
        <v>22</v>
      </c>
      <c r="P21" s="14"/>
      <c r="Q21" s="11"/>
      <c r="R21" s="15"/>
    </row>
    <row r="22" spans="1:18" ht="15" customHeight="1">
      <c r="B22" s="16" t="s">
        <v>23</v>
      </c>
      <c r="M22" s="17"/>
      <c r="O22" s="18">
        <f>SUM(O23:O27)</f>
        <v>65321</v>
      </c>
      <c r="P22" s="11" t="s">
        <v>24</v>
      </c>
    </row>
    <row r="23" spans="1:18" ht="15" customHeight="1">
      <c r="A23" s="19" t="s">
        <v>25</v>
      </c>
      <c r="B23" s="1" t="s">
        <v>26</v>
      </c>
      <c r="C23" s="6">
        <f>G12*1</f>
        <v>1.99</v>
      </c>
      <c r="D23" s="6"/>
      <c r="E23" s="1" t="s">
        <v>27</v>
      </c>
      <c r="F23" s="20"/>
      <c r="I23" s="21"/>
      <c r="K23" s="21"/>
      <c r="M23" s="22"/>
      <c r="N23" s="21"/>
      <c r="O23" s="23">
        <f>ROUND(C23*7480*1.75*1.07,0)</f>
        <v>27873</v>
      </c>
      <c r="P23" s="1" t="s">
        <v>24</v>
      </c>
    </row>
    <row r="24" spans="1:18" ht="14.25" customHeight="1">
      <c r="A24" s="19" t="s">
        <v>25</v>
      </c>
      <c r="B24" s="1" t="s">
        <v>28</v>
      </c>
      <c r="C24" s="6">
        <f>G13*1</f>
        <v>1</v>
      </c>
      <c r="D24" s="6"/>
      <c r="E24" s="1" t="s">
        <v>27</v>
      </c>
      <c r="F24" s="20"/>
      <c r="I24" s="21"/>
      <c r="K24" s="21"/>
      <c r="M24" s="22"/>
      <c r="N24" s="21"/>
      <c r="O24" s="23">
        <f>ROUND(C24*12120*1.55*1.07,0)</f>
        <v>20101</v>
      </c>
      <c r="P24" s="1" t="s">
        <v>24</v>
      </c>
    </row>
    <row r="25" spans="1:18" ht="14.25" customHeight="1">
      <c r="A25" s="19" t="s">
        <v>25</v>
      </c>
      <c r="B25" s="1" t="s">
        <v>29</v>
      </c>
      <c r="C25" s="6">
        <f>G14</f>
        <v>0.9</v>
      </c>
      <c r="D25" s="6"/>
      <c r="E25" s="1" t="s">
        <v>27</v>
      </c>
      <c r="F25" s="20"/>
      <c r="I25" s="21"/>
      <c r="K25" s="21"/>
      <c r="M25" s="22"/>
      <c r="N25" s="21"/>
      <c r="O25" s="23">
        <f>ROUND(C25*8970*1.6*1.07,0)</f>
        <v>13821</v>
      </c>
      <c r="P25" s="1" t="s">
        <v>24</v>
      </c>
    </row>
    <row r="26" spans="1:18" ht="14.25" customHeight="1">
      <c r="A26" s="19"/>
      <c r="B26" s="1" t="s">
        <v>30</v>
      </c>
      <c r="E26" s="7"/>
      <c r="F26" s="7"/>
      <c r="I26" s="24"/>
      <c r="K26" s="24"/>
      <c r="M26" s="25"/>
      <c r="N26" s="24"/>
      <c r="O26" s="23">
        <f>ROUND(16100/9455*G15,0)</f>
        <v>2726</v>
      </c>
      <c r="P26" s="1" t="s">
        <v>24</v>
      </c>
    </row>
    <row r="27" spans="1:18" ht="14.25" customHeight="1">
      <c r="A27" s="19"/>
      <c r="B27" s="1" t="s">
        <v>31</v>
      </c>
      <c r="E27" s="7"/>
      <c r="F27" s="7"/>
      <c r="H27" s="1">
        <v>50</v>
      </c>
      <c r="I27" s="24" t="s">
        <v>32</v>
      </c>
      <c r="J27" s="1">
        <f>H17</f>
        <v>16</v>
      </c>
      <c r="K27" s="24"/>
      <c r="M27" s="25"/>
      <c r="N27" s="24"/>
      <c r="O27" s="23">
        <f>H27*J27</f>
        <v>800</v>
      </c>
      <c r="P27" s="1" t="s">
        <v>24</v>
      </c>
    </row>
    <row r="28" spans="1:18" ht="15" customHeight="1">
      <c r="B28" s="1" t="s">
        <v>33</v>
      </c>
      <c r="G28" s="1">
        <v>30.28</v>
      </c>
      <c r="H28" s="1" t="s">
        <v>34</v>
      </c>
      <c r="M28" s="17"/>
      <c r="O28" s="11">
        <f>ROUND(O22*G28/100,0)</f>
        <v>19779</v>
      </c>
      <c r="P28" s="11" t="s">
        <v>24</v>
      </c>
    </row>
    <row r="29" spans="1:18" ht="15" customHeight="1">
      <c r="B29" s="1" t="s">
        <v>35</v>
      </c>
      <c r="M29" s="17"/>
      <c r="O29" s="26">
        <f>ROUND(17500/287037.9*G6,0)</f>
        <v>2095</v>
      </c>
      <c r="P29" s="26" t="s">
        <v>24</v>
      </c>
    </row>
    <row r="30" spans="1:18" ht="15" customHeight="1">
      <c r="B30" s="1" t="s">
        <v>36</v>
      </c>
      <c r="M30" s="17"/>
      <c r="O30" s="26">
        <f>ROUND(16300/287037.9*G6,0)</f>
        <v>1951</v>
      </c>
      <c r="P30" s="26" t="s">
        <v>24</v>
      </c>
    </row>
    <row r="31" spans="1:18" ht="15" customHeight="1">
      <c r="A31" s="19"/>
      <c r="B31" s="1" t="s">
        <v>37</v>
      </c>
      <c r="M31" s="17"/>
      <c r="O31" s="18">
        <f>ROUND(77046/12593*G15,0)</f>
        <v>9795</v>
      </c>
      <c r="P31" s="11" t="s">
        <v>24</v>
      </c>
    </row>
    <row r="32" spans="1:18" ht="15" customHeight="1">
      <c r="A32" s="19"/>
      <c r="M32" s="17"/>
      <c r="O32" s="18"/>
      <c r="P32" s="11"/>
    </row>
    <row r="33" spans="1:19" ht="15" customHeight="1">
      <c r="A33" s="10" t="s">
        <v>38</v>
      </c>
      <c r="B33" s="11" t="s">
        <v>39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>
        <f>ROUND((O34+O35+O36+O37+O38+O39+O40)/1000,2)</f>
        <v>91.4</v>
      </c>
      <c r="N33" s="13"/>
      <c r="O33" s="13" t="s">
        <v>22</v>
      </c>
      <c r="P33" s="14"/>
      <c r="Q33" s="11"/>
      <c r="R33" s="27"/>
    </row>
    <row r="34" spans="1:19" ht="15" customHeight="1">
      <c r="A34" s="19" t="s">
        <v>25</v>
      </c>
      <c r="B34" s="1" t="s">
        <v>40</v>
      </c>
      <c r="M34" s="17"/>
      <c r="O34" s="28">
        <f>ROUND(G15*1.5*137/12,0)</f>
        <v>27417</v>
      </c>
      <c r="P34" s="11" t="s">
        <v>24</v>
      </c>
      <c r="R34" s="23"/>
    </row>
    <row r="35" spans="1:19" ht="15" customHeight="1">
      <c r="A35" s="19" t="s">
        <v>25</v>
      </c>
      <c r="B35" s="1" t="s">
        <v>41</v>
      </c>
      <c r="M35" s="17"/>
      <c r="O35" s="18">
        <f>ROUND(G15*1.5*144/12,0)</f>
        <v>28818</v>
      </c>
      <c r="P35" s="11" t="s">
        <v>24</v>
      </c>
      <c r="R35" s="23"/>
    </row>
    <row r="36" spans="1:19" ht="15" customHeight="1">
      <c r="A36" s="19" t="s">
        <v>25</v>
      </c>
      <c r="B36" s="1" t="s">
        <v>42</v>
      </c>
      <c r="M36" s="17"/>
      <c r="O36" s="18">
        <f>ROUND(7627*1.83/12,0)</f>
        <v>1163</v>
      </c>
      <c r="P36" s="11" t="s">
        <v>24</v>
      </c>
    </row>
    <row r="37" spans="1:19" ht="15" customHeight="1">
      <c r="A37" s="19" t="s">
        <v>25</v>
      </c>
      <c r="B37" s="1" t="s">
        <v>43</v>
      </c>
      <c r="M37" s="17"/>
      <c r="O37" s="29">
        <f>ROUND(73000/218643.1*G6,0)</f>
        <v>11473</v>
      </c>
      <c r="P37" s="11" t="s">
        <v>24</v>
      </c>
    </row>
    <row r="38" spans="1:19" ht="15" customHeight="1">
      <c r="A38" s="19" t="s">
        <v>25</v>
      </c>
      <c r="B38" s="1" t="s">
        <v>44</v>
      </c>
      <c r="F38" s="7"/>
      <c r="G38" s="7"/>
      <c r="M38" s="17"/>
      <c r="O38" s="11">
        <v>12632</v>
      </c>
      <c r="P38" s="11" t="s">
        <v>24</v>
      </c>
    </row>
    <row r="39" spans="1:19" ht="15" customHeight="1">
      <c r="A39" s="19" t="s">
        <v>25</v>
      </c>
      <c r="B39" s="1" t="s">
        <v>45</v>
      </c>
      <c r="M39" s="17"/>
      <c r="O39" s="18">
        <f>572*18.81/12</f>
        <v>896.61</v>
      </c>
      <c r="P39" s="11" t="s">
        <v>24</v>
      </c>
    </row>
    <row r="40" spans="1:19" ht="15" customHeight="1">
      <c r="A40" s="19" t="s">
        <v>25</v>
      </c>
      <c r="B40" s="1" t="s">
        <v>46</v>
      </c>
      <c r="M40" s="17"/>
      <c r="O40" s="18">
        <f>572*188.91/12</f>
        <v>9004.7100000000009</v>
      </c>
      <c r="P40" s="11" t="s">
        <v>24</v>
      </c>
    </row>
    <row r="41" spans="1:19" ht="15" customHeight="1">
      <c r="A41" s="10" t="s">
        <v>47</v>
      </c>
      <c r="B41" s="11" t="s">
        <v>48</v>
      </c>
      <c r="C41" s="11"/>
      <c r="D41" s="11"/>
      <c r="E41" s="11"/>
      <c r="F41" s="11"/>
      <c r="G41" s="11"/>
      <c r="H41" s="11"/>
      <c r="I41" s="11"/>
      <c r="J41" s="11" t="s">
        <v>49</v>
      </c>
      <c r="K41" s="11"/>
      <c r="L41" s="11"/>
      <c r="M41" s="12">
        <f>(O43+O42+O44)/1000</f>
        <v>83.03</v>
      </c>
      <c r="N41" s="13"/>
      <c r="O41" s="13" t="s">
        <v>22</v>
      </c>
      <c r="P41" s="14"/>
      <c r="Q41" s="11"/>
      <c r="R41" s="15"/>
    </row>
    <row r="42" spans="1:19" ht="15" customHeight="1">
      <c r="A42" s="19" t="s">
        <v>25</v>
      </c>
      <c r="B42" s="1" t="s">
        <v>50</v>
      </c>
      <c r="E42" s="8"/>
      <c r="M42" s="17"/>
      <c r="O42" s="23">
        <f>ROUND(H17*4786.55,0)</f>
        <v>76585</v>
      </c>
      <c r="P42" s="1" t="s">
        <v>24</v>
      </c>
    </row>
    <row r="43" spans="1:19" ht="15" customHeight="1">
      <c r="A43" s="19" t="s">
        <v>25</v>
      </c>
      <c r="B43" s="1" t="s">
        <v>51</v>
      </c>
      <c r="E43" s="8">
        <f>H17*1</f>
        <v>16</v>
      </c>
      <c r="F43" s="1" t="s">
        <v>52</v>
      </c>
      <c r="H43" s="1" t="s">
        <v>53</v>
      </c>
      <c r="M43" s="17"/>
      <c r="O43" s="23">
        <f>ROUND((16*4271)/12,0)</f>
        <v>5695</v>
      </c>
      <c r="P43" s="1" t="s">
        <v>24</v>
      </c>
    </row>
    <row r="44" spans="1:19" ht="15" customHeight="1">
      <c r="A44" s="19" t="s">
        <v>25</v>
      </c>
      <c r="B44" s="1" t="s">
        <v>54</v>
      </c>
      <c r="F44" s="8"/>
      <c r="M44" s="17"/>
      <c r="O44" s="23">
        <f>ROUND(18000/12,0)/2</f>
        <v>750</v>
      </c>
      <c r="P44" s="1" t="s">
        <v>24</v>
      </c>
    </row>
    <row r="45" spans="1:19" ht="15" customHeight="1">
      <c r="A45" s="19"/>
      <c r="F45" s="8"/>
      <c r="M45" s="17"/>
      <c r="O45" s="23"/>
      <c r="S45" s="30"/>
    </row>
    <row r="46" spans="1:19" ht="15.75">
      <c r="A46" s="10" t="s">
        <v>55</v>
      </c>
      <c r="B46" s="11" t="s">
        <v>56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>
        <f>ROUND(830.06/287026.2*G6,2)+0.63-13.76</f>
        <v>86.24</v>
      </c>
      <c r="N46" s="13"/>
      <c r="O46" s="13" t="s">
        <v>22</v>
      </c>
      <c r="P46" s="14"/>
      <c r="Q46" s="11"/>
      <c r="R46" s="15"/>
    </row>
    <row r="47" spans="1:19" ht="12.75">
      <c r="A47" s="31" t="s">
        <v>25</v>
      </c>
      <c r="B47" s="24" t="s">
        <v>57</v>
      </c>
      <c r="C47" s="24"/>
      <c r="D47" s="24"/>
      <c r="E47" s="24"/>
      <c r="F47" s="32"/>
      <c r="G47" s="32"/>
      <c r="H47" s="21"/>
      <c r="I47" s="24"/>
      <c r="J47" s="33"/>
      <c r="K47" s="33"/>
      <c r="L47" s="24"/>
      <c r="M47" s="34"/>
      <c r="N47" s="35"/>
      <c r="O47" s="35"/>
      <c r="P47" s="35"/>
      <c r="Q47" s="24"/>
      <c r="R47" s="24"/>
    </row>
    <row r="48" spans="1:19" ht="12.75">
      <c r="A48" s="31" t="s">
        <v>25</v>
      </c>
      <c r="B48" s="24" t="s">
        <v>58</v>
      </c>
      <c r="C48" s="24"/>
      <c r="D48" s="24"/>
      <c r="E48" s="24"/>
      <c r="F48" s="32"/>
      <c r="G48" s="36"/>
      <c r="H48" s="21"/>
      <c r="I48" s="24"/>
      <c r="J48" s="33"/>
      <c r="K48" s="33"/>
      <c r="L48" s="24"/>
      <c r="M48" s="34"/>
      <c r="N48" s="35"/>
      <c r="O48" s="35"/>
      <c r="P48" s="35"/>
      <c r="Q48" s="24"/>
      <c r="R48" s="24"/>
    </row>
    <row r="49" spans="1:18" ht="12.75">
      <c r="A49" s="31" t="s">
        <v>25</v>
      </c>
      <c r="B49" s="24" t="s">
        <v>59</v>
      </c>
      <c r="C49" s="24"/>
      <c r="D49" s="24"/>
      <c r="E49" s="24"/>
      <c r="F49" s="32"/>
      <c r="G49" s="32"/>
      <c r="H49" s="21"/>
      <c r="I49" s="24"/>
      <c r="J49" s="33"/>
      <c r="K49" s="33"/>
      <c r="L49" s="24"/>
      <c r="M49" s="34"/>
      <c r="N49" s="35"/>
      <c r="O49" s="35"/>
      <c r="P49" s="35"/>
      <c r="Q49" s="24"/>
      <c r="R49" s="24"/>
    </row>
    <row r="50" spans="1:18" ht="12.75">
      <c r="A50" s="31" t="s">
        <v>25</v>
      </c>
      <c r="B50" s="24" t="s">
        <v>60</v>
      </c>
      <c r="C50" s="21"/>
      <c r="D50" s="21"/>
      <c r="E50" s="21"/>
      <c r="F50" s="32"/>
      <c r="G50" s="32"/>
      <c r="H50" s="21"/>
      <c r="I50" s="21"/>
      <c r="J50" s="33"/>
      <c r="K50" s="33"/>
      <c r="L50" s="24"/>
      <c r="M50" s="22"/>
      <c r="N50" s="21"/>
      <c r="O50" s="21"/>
      <c r="P50" s="21"/>
      <c r="Q50" s="21"/>
      <c r="R50" s="21"/>
    </row>
    <row r="51" spans="1:18" ht="12.75">
      <c r="A51" s="31" t="s">
        <v>25</v>
      </c>
      <c r="B51" s="24" t="s">
        <v>61</v>
      </c>
      <c r="C51" s="21"/>
      <c r="D51" s="21"/>
      <c r="E51" s="21"/>
      <c r="F51" s="32"/>
      <c r="G51" s="32"/>
      <c r="H51" s="21"/>
      <c r="I51" s="21"/>
      <c r="J51" s="33"/>
      <c r="K51" s="33"/>
      <c r="L51" s="24"/>
      <c r="M51" s="37"/>
      <c r="N51" s="38"/>
      <c r="O51" s="38"/>
      <c r="P51" s="21"/>
      <c r="Q51" s="21"/>
      <c r="R51" s="21"/>
    </row>
    <row r="52" spans="1:18" ht="12.75">
      <c r="A52" s="31" t="s">
        <v>25</v>
      </c>
      <c r="B52" s="24" t="s">
        <v>62</v>
      </c>
      <c r="C52" s="21"/>
      <c r="D52" s="21"/>
      <c r="E52" s="21"/>
      <c r="F52" s="32"/>
      <c r="G52" s="32"/>
      <c r="H52" s="21"/>
      <c r="I52" s="21"/>
      <c r="J52" s="32"/>
      <c r="K52" s="32"/>
      <c r="L52" s="24"/>
      <c r="M52" s="37"/>
      <c r="N52" s="38"/>
      <c r="O52" s="38"/>
      <c r="P52" s="21"/>
      <c r="Q52" s="21"/>
      <c r="R52" s="21"/>
    </row>
    <row r="53" spans="1:18" ht="12.75">
      <c r="A53" s="31"/>
      <c r="B53" s="24"/>
      <c r="C53" s="21"/>
      <c r="D53" s="21"/>
      <c r="E53" s="21"/>
      <c r="F53" s="32"/>
      <c r="G53" s="32"/>
      <c r="H53" s="21"/>
      <c r="I53" s="21"/>
      <c r="J53" s="32"/>
      <c r="K53" s="32"/>
      <c r="L53" s="24"/>
      <c r="M53" s="37"/>
      <c r="N53" s="38"/>
      <c r="O53" s="38"/>
      <c r="P53" s="21"/>
      <c r="Q53" s="21"/>
      <c r="R53" s="21"/>
    </row>
    <row r="54" spans="1:18" ht="15.75">
      <c r="A54" s="39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40"/>
      <c r="N54" s="41"/>
      <c r="O54" s="41"/>
      <c r="P54" s="41"/>
      <c r="Q54" s="11"/>
      <c r="R54" s="11"/>
    </row>
    <row r="55" spans="1:18" ht="15.75">
      <c r="A55" s="39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40"/>
      <c r="N55" s="41"/>
      <c r="O55" s="41"/>
      <c r="P55" s="41"/>
      <c r="Q55" s="11"/>
      <c r="R55" s="11"/>
    </row>
    <row r="56" spans="1:18" ht="15.75">
      <c r="A56" s="10" t="s">
        <v>63</v>
      </c>
      <c r="B56" s="42" t="s">
        <v>64</v>
      </c>
      <c r="C56" s="42"/>
      <c r="D56" s="42"/>
      <c r="E56" s="42"/>
      <c r="F56" s="42"/>
      <c r="G56" s="42"/>
      <c r="H56" s="42" t="s">
        <v>49</v>
      </c>
      <c r="I56" s="42"/>
      <c r="M56" s="13">
        <f>ROUND(266.34/287026.2*G6,2)+15.01+(10.47)+6.8</f>
        <v>64.17</v>
      </c>
      <c r="N56" s="43"/>
      <c r="O56" s="13" t="s">
        <v>22</v>
      </c>
      <c r="P56" s="43"/>
      <c r="R56" s="11"/>
    </row>
    <row r="57" spans="1:18">
      <c r="B57" s="21">
        <v>1</v>
      </c>
      <c r="C57" s="21" t="s">
        <v>65</v>
      </c>
    </row>
    <row r="58" spans="1:18" ht="12.75">
      <c r="A58" s="31"/>
      <c r="B58" s="21">
        <v>2</v>
      </c>
      <c r="C58" s="21" t="s">
        <v>66</v>
      </c>
      <c r="D58" s="21"/>
      <c r="E58" s="21"/>
      <c r="F58" s="32"/>
      <c r="G58" s="32"/>
      <c r="H58" s="21"/>
      <c r="I58" s="21"/>
      <c r="J58" s="32"/>
      <c r="K58" s="32"/>
      <c r="L58" s="24"/>
      <c r="M58" s="37"/>
      <c r="N58" s="38"/>
      <c r="O58" s="38"/>
      <c r="P58" s="21"/>
      <c r="Q58" s="21"/>
      <c r="R58" s="21"/>
    </row>
    <row r="59" spans="1:18" ht="12.75">
      <c r="A59" s="21"/>
      <c r="B59" s="21">
        <v>3</v>
      </c>
      <c r="C59" s="21" t="s">
        <v>67</v>
      </c>
      <c r="D59" s="21"/>
      <c r="E59" s="21"/>
      <c r="F59" s="21"/>
      <c r="G59" s="21"/>
      <c r="H59" s="21"/>
      <c r="I59" s="21"/>
      <c r="J59" s="21"/>
      <c r="K59" s="21"/>
      <c r="L59" s="21"/>
      <c r="M59" s="22"/>
      <c r="N59" s="21"/>
      <c r="O59" s="21"/>
      <c r="P59" s="21"/>
      <c r="Q59" s="21"/>
      <c r="R59" s="21"/>
    </row>
    <row r="60" spans="1:18" ht="12.75">
      <c r="A60" s="21"/>
      <c r="B60" s="21">
        <v>4</v>
      </c>
      <c r="C60" s="21" t="s">
        <v>68</v>
      </c>
      <c r="D60" s="21"/>
      <c r="E60" s="21"/>
      <c r="F60" s="21"/>
      <c r="G60" s="21"/>
      <c r="H60" s="21"/>
      <c r="I60" s="21"/>
      <c r="J60" s="21"/>
      <c r="K60" s="21"/>
      <c r="L60" s="21"/>
      <c r="M60" s="22"/>
      <c r="N60" s="21"/>
      <c r="O60" s="21"/>
      <c r="P60" s="21"/>
      <c r="Q60" s="21"/>
      <c r="R60" s="21"/>
    </row>
    <row r="61" spans="1:18" ht="12.75">
      <c r="A61" s="21"/>
      <c r="B61" s="21">
        <v>4</v>
      </c>
      <c r="C61" s="21" t="s">
        <v>69</v>
      </c>
      <c r="D61" s="21"/>
      <c r="E61" s="21"/>
      <c r="F61" s="21"/>
      <c r="G61" s="21"/>
      <c r="H61" s="21"/>
      <c r="I61" s="21"/>
      <c r="J61" s="21"/>
      <c r="K61" s="21"/>
      <c r="L61" s="21"/>
      <c r="M61" s="22"/>
      <c r="N61" s="21"/>
      <c r="O61" s="21"/>
      <c r="P61" s="21"/>
      <c r="Q61" s="21"/>
      <c r="R61" s="21"/>
    </row>
    <row r="62" spans="1:18" ht="12.75">
      <c r="A62" s="21"/>
      <c r="B62" s="21">
        <v>5</v>
      </c>
      <c r="C62" s="21" t="s">
        <v>70</v>
      </c>
      <c r="D62" s="21"/>
      <c r="E62" s="21"/>
      <c r="F62" s="21"/>
      <c r="G62" s="21"/>
      <c r="H62" s="21"/>
      <c r="I62" s="21"/>
      <c r="J62" s="21"/>
      <c r="K62" s="21"/>
      <c r="L62" s="21"/>
      <c r="M62" s="22"/>
      <c r="N62" s="21"/>
      <c r="O62" s="21"/>
      <c r="P62" s="21"/>
      <c r="Q62" s="21"/>
      <c r="R62" s="21"/>
    </row>
    <row r="63" spans="1:18" ht="12.75">
      <c r="A63" s="31"/>
      <c r="B63" s="21">
        <v>6</v>
      </c>
      <c r="C63" s="21" t="s">
        <v>71</v>
      </c>
      <c r="D63" s="21"/>
      <c r="E63" s="21"/>
      <c r="F63" s="32"/>
      <c r="G63" s="32"/>
      <c r="H63" s="21"/>
      <c r="I63" s="21"/>
      <c r="J63" s="32"/>
      <c r="K63" s="32"/>
      <c r="L63" s="24"/>
      <c r="M63" s="37"/>
      <c r="N63" s="38"/>
      <c r="O63" s="38"/>
      <c r="P63" s="21"/>
      <c r="Q63" s="21"/>
      <c r="R63" s="21"/>
    </row>
    <row r="64" spans="1:18">
      <c r="M64" s="17"/>
    </row>
    <row r="65" spans="1:18" ht="15.75">
      <c r="A65" s="10" t="s">
        <v>72</v>
      </c>
      <c r="B65" s="11" t="s">
        <v>73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3">
        <f>ROUND(474.17/287026.2*G6,2)+16.91+(24)+15.3</f>
        <v>112.98</v>
      </c>
      <c r="N65" s="13"/>
      <c r="O65" s="13" t="s">
        <v>22</v>
      </c>
      <c r="P65" s="14"/>
      <c r="Q65" s="11"/>
      <c r="R65" s="15"/>
    </row>
    <row r="66" spans="1:18" ht="12.75">
      <c r="A66" s="21"/>
      <c r="B66" s="21">
        <v>1</v>
      </c>
      <c r="C66" s="21" t="s">
        <v>74</v>
      </c>
      <c r="D66" s="21"/>
      <c r="E66" s="21"/>
      <c r="F66" s="21"/>
      <c r="G66" s="21"/>
      <c r="H66" s="21"/>
      <c r="I66" s="21"/>
      <c r="J66" s="21"/>
      <c r="K66" s="21"/>
      <c r="L66" s="21"/>
      <c r="M66" s="22"/>
      <c r="N66" s="21"/>
      <c r="O66" s="21"/>
      <c r="P66" s="21"/>
      <c r="Q66" s="21"/>
      <c r="R66" s="21"/>
    </row>
    <row r="67" spans="1:18" ht="12.75">
      <c r="A67" s="21"/>
      <c r="B67" s="21">
        <v>2</v>
      </c>
      <c r="C67" s="21" t="s">
        <v>75</v>
      </c>
      <c r="D67" s="21"/>
      <c r="E67" s="21"/>
      <c r="F67" s="21"/>
      <c r="G67" s="21"/>
      <c r="H67" s="21"/>
      <c r="I67" s="21"/>
      <c r="J67" s="21"/>
      <c r="K67" s="21"/>
      <c r="L67" s="21"/>
      <c r="M67" s="22"/>
      <c r="N67" s="21"/>
      <c r="O67" s="21"/>
      <c r="P67" s="21"/>
      <c r="Q67" s="21"/>
      <c r="R67" s="21"/>
    </row>
    <row r="68" spans="1:18" ht="12.75">
      <c r="A68" s="21"/>
      <c r="B68" s="21">
        <v>3</v>
      </c>
      <c r="C68" s="21" t="s">
        <v>76</v>
      </c>
      <c r="D68" s="21"/>
      <c r="E68" s="21"/>
      <c r="F68" s="21"/>
      <c r="G68" s="21"/>
      <c r="H68" s="21"/>
      <c r="I68" s="21"/>
      <c r="J68" s="21"/>
      <c r="K68" s="21"/>
      <c r="L68" s="21"/>
      <c r="M68" s="22"/>
      <c r="N68" s="21"/>
      <c r="O68" s="21"/>
      <c r="P68" s="21"/>
      <c r="Q68" s="21"/>
      <c r="R68" s="21"/>
    </row>
    <row r="69" spans="1:18" ht="12.75">
      <c r="A69" s="21"/>
      <c r="B69" s="21">
        <v>4</v>
      </c>
      <c r="C69" s="21" t="s">
        <v>77</v>
      </c>
      <c r="D69" s="21"/>
      <c r="E69" s="21"/>
      <c r="F69" s="21"/>
      <c r="G69" s="21"/>
      <c r="H69" s="21"/>
      <c r="I69" s="21"/>
      <c r="J69" s="21"/>
      <c r="K69" s="21"/>
      <c r="L69" s="21"/>
      <c r="M69" s="22"/>
      <c r="N69" s="21"/>
      <c r="O69" s="21"/>
      <c r="P69" s="21"/>
      <c r="Q69" s="21"/>
      <c r="R69" s="21"/>
    </row>
    <row r="70" spans="1:18" ht="12.75">
      <c r="A70" s="21"/>
      <c r="B70" s="21">
        <v>5</v>
      </c>
      <c r="C70" s="21" t="s">
        <v>78</v>
      </c>
      <c r="D70" s="21"/>
      <c r="E70" s="21"/>
      <c r="F70" s="21"/>
      <c r="G70" s="21"/>
      <c r="H70" s="21"/>
      <c r="I70" s="21"/>
      <c r="J70" s="21"/>
      <c r="K70" s="21"/>
      <c r="L70" s="21"/>
      <c r="M70" s="22"/>
      <c r="N70" s="21"/>
      <c r="O70" s="21"/>
      <c r="P70" s="21"/>
      <c r="Q70" s="21"/>
      <c r="R70" s="21"/>
    </row>
    <row r="71" spans="1:18" ht="12.75">
      <c r="A71" s="21"/>
      <c r="B71" s="21">
        <v>6</v>
      </c>
      <c r="C71" s="21" t="s">
        <v>79</v>
      </c>
      <c r="D71" s="21"/>
      <c r="E71" s="21"/>
      <c r="F71" s="21"/>
      <c r="G71" s="21"/>
      <c r="H71" s="21"/>
      <c r="I71" s="21"/>
      <c r="J71" s="21"/>
      <c r="K71" s="21"/>
      <c r="L71" s="21"/>
      <c r="M71" s="22"/>
      <c r="N71" s="21"/>
      <c r="O71" s="21"/>
      <c r="P71" s="21"/>
      <c r="Q71" s="21"/>
      <c r="R71" s="21"/>
    </row>
    <row r="72" spans="1:18" ht="12.75">
      <c r="A72" s="21"/>
      <c r="B72" s="21">
        <v>7</v>
      </c>
      <c r="C72" s="21" t="s">
        <v>80</v>
      </c>
      <c r="D72" s="21"/>
      <c r="E72" s="21"/>
      <c r="F72" s="21"/>
      <c r="G72" s="21"/>
      <c r="H72" s="21"/>
      <c r="I72" s="21"/>
      <c r="J72" s="21"/>
      <c r="K72" s="21"/>
      <c r="L72" s="21"/>
      <c r="M72" s="22"/>
      <c r="N72" s="21"/>
      <c r="O72" s="21"/>
      <c r="P72" s="21"/>
      <c r="Q72" s="21"/>
      <c r="R72" s="21"/>
    </row>
    <row r="73" spans="1:18" ht="12.75">
      <c r="A73" s="21"/>
      <c r="B73" s="21">
        <v>8</v>
      </c>
      <c r="C73" s="21" t="s">
        <v>81</v>
      </c>
      <c r="D73" s="21"/>
      <c r="E73" s="21"/>
      <c r="F73" s="21"/>
      <c r="G73" s="21"/>
      <c r="H73" s="21"/>
      <c r="I73" s="21"/>
      <c r="J73" s="21"/>
      <c r="K73" s="21"/>
      <c r="L73" s="21"/>
      <c r="M73" s="22"/>
      <c r="N73" s="21"/>
      <c r="O73" s="21"/>
      <c r="P73" s="21"/>
      <c r="Q73" s="21"/>
      <c r="R73" s="21"/>
    </row>
    <row r="74" spans="1:18" ht="12.7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2"/>
      <c r="N74" s="21"/>
      <c r="O74" s="21"/>
      <c r="P74" s="21"/>
      <c r="Q74" s="21"/>
      <c r="R74" s="21"/>
    </row>
    <row r="75" spans="1:18" ht="15.75">
      <c r="A75" s="11" t="s">
        <v>82</v>
      </c>
      <c r="B75" s="11" t="s">
        <v>83</v>
      </c>
      <c r="M75" s="13">
        <f>ROUND(80/287037.9*G6,2)</f>
        <v>9.58</v>
      </c>
      <c r="N75" s="43"/>
      <c r="O75" s="13" t="s">
        <v>22</v>
      </c>
      <c r="P75" s="43"/>
      <c r="R75" s="44"/>
    </row>
    <row r="76" spans="1:18" ht="15.7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45"/>
      <c r="N76" s="46"/>
      <c r="O76" s="45"/>
      <c r="P76" s="46"/>
      <c r="Q76" s="21"/>
      <c r="R76" s="21"/>
    </row>
    <row r="77" spans="1:18" s="11" customFormat="1" ht="15.75">
      <c r="A77" s="11" t="s">
        <v>84</v>
      </c>
      <c r="B77" s="11" t="s">
        <v>85</v>
      </c>
      <c r="M77" s="13">
        <f>ROUND((19195.68+3115.22*1.5+57934.55)/1000,2)</f>
        <v>81.8</v>
      </c>
      <c r="N77" s="43"/>
      <c r="O77" s="13" t="s">
        <v>22</v>
      </c>
      <c r="P77" s="43"/>
    </row>
    <row r="78" spans="1:18" s="11" customFormat="1" ht="16.5" thickBot="1">
      <c r="M78" s="47"/>
      <c r="N78" s="48"/>
      <c r="O78" s="47"/>
      <c r="P78" s="48"/>
    </row>
    <row r="79" spans="1:18" ht="16.5" thickBot="1">
      <c r="A79" s="11"/>
      <c r="B79" s="49" t="s">
        <v>86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50">
        <f>M21+M33+M41+M46+M56+M65+M75+M77</f>
        <v>628.14</v>
      </c>
      <c r="N79" s="51"/>
      <c r="O79" s="51" t="s">
        <v>22</v>
      </c>
      <c r="P79" s="52"/>
      <c r="Q79" s="11"/>
      <c r="R79" s="15"/>
    </row>
    <row r="80" spans="1:18" ht="16.5" thickBot="1">
      <c r="A80" s="11"/>
      <c r="B80" s="49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53"/>
      <c r="N80" s="47"/>
      <c r="O80" s="47"/>
      <c r="P80" s="47"/>
      <c r="Q80" s="11"/>
      <c r="R80" s="11"/>
    </row>
    <row r="81" spans="1:18" s="11" customFormat="1" ht="16.5" thickBot="1">
      <c r="B81" s="49" t="s">
        <v>87</v>
      </c>
      <c r="M81" s="50">
        <f>ROUND(M79*7/100,2)</f>
        <v>43.97</v>
      </c>
      <c r="N81" s="51"/>
      <c r="O81" s="51" t="s">
        <v>22</v>
      </c>
      <c r="P81" s="52"/>
    </row>
    <row r="82" spans="1:18" ht="15" thickBot="1">
      <c r="M82" s="17"/>
    </row>
    <row r="83" spans="1:18" ht="16.5" thickBot="1">
      <c r="B83" s="49" t="s">
        <v>88</v>
      </c>
      <c r="M83" s="50">
        <f>M79+M81</f>
        <v>672.11</v>
      </c>
      <c r="N83" s="51"/>
      <c r="O83" s="51" t="s">
        <v>22</v>
      </c>
      <c r="P83" s="52"/>
      <c r="R83" s="11"/>
    </row>
    <row r="84" spans="1:18">
      <c r="M84" s="54"/>
    </row>
    <row r="86" spans="1:18" s="36" customFormat="1" ht="15">
      <c r="A86" s="11"/>
      <c r="B86" s="11" t="s">
        <v>89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</row>
    <row r="87" spans="1:18" s="36" customFormat="1" ht="15.75">
      <c r="A87" s="11"/>
      <c r="B87" s="11" t="s">
        <v>90</v>
      </c>
      <c r="C87" s="11"/>
      <c r="D87" s="11"/>
      <c r="E87" s="11"/>
      <c r="F87" s="11"/>
      <c r="G87" s="11"/>
      <c r="H87" s="11"/>
      <c r="I87" s="11"/>
      <c r="J87" s="11"/>
      <c r="K87" s="11"/>
      <c r="L87" s="55">
        <v>582131.57999999996</v>
      </c>
      <c r="M87" s="55"/>
      <c r="N87" s="56"/>
      <c r="O87" s="11"/>
      <c r="P87" s="11"/>
      <c r="Q87" s="11"/>
    </row>
    <row r="88" spans="1:18" s="36" customFormat="1" ht="15.75">
      <c r="A88" s="11"/>
      <c r="B88" s="11" t="s">
        <v>91</v>
      </c>
      <c r="C88" s="11"/>
      <c r="D88" s="11"/>
      <c r="E88" s="11"/>
      <c r="F88" s="11"/>
      <c r="G88" s="11"/>
      <c r="H88" s="11"/>
      <c r="I88" s="11"/>
      <c r="J88" s="11"/>
      <c r="K88" s="11"/>
      <c r="L88" s="55">
        <v>9733.31</v>
      </c>
      <c r="M88" s="55"/>
      <c r="N88" s="56"/>
      <c r="O88" s="11"/>
      <c r="P88" s="11"/>
      <c r="Q88" s="11"/>
      <c r="R88" s="11"/>
    </row>
    <row r="89" spans="1:18" s="36" customFormat="1" ht="15" customHeight="1">
      <c r="A89" s="11"/>
      <c r="B89" s="11" t="s">
        <v>92</v>
      </c>
      <c r="C89" s="11"/>
      <c r="D89" s="11"/>
      <c r="E89" s="11"/>
      <c r="F89" s="11"/>
      <c r="G89" s="11"/>
      <c r="H89" s="11"/>
      <c r="I89" s="11"/>
      <c r="J89" s="11"/>
      <c r="K89" s="11"/>
      <c r="L89" s="55">
        <f>19195.68+3115.22+57934.55</f>
        <v>80245.450000000012</v>
      </c>
      <c r="M89" s="55"/>
      <c r="N89" s="56"/>
      <c r="O89" s="11"/>
      <c r="P89" s="11"/>
      <c r="Q89" s="11"/>
      <c r="R89" s="11"/>
    </row>
    <row r="90" spans="1:18" s="36" customFormat="1" ht="15.75">
      <c r="A90" s="49"/>
      <c r="B90" s="49" t="s">
        <v>86</v>
      </c>
      <c r="C90" s="49"/>
      <c r="D90" s="49"/>
      <c r="E90" s="49"/>
      <c r="F90" s="49"/>
      <c r="G90" s="49"/>
      <c r="H90" s="49"/>
      <c r="I90" s="49"/>
      <c r="J90" s="49"/>
      <c r="K90" s="49"/>
      <c r="L90" s="55">
        <f>SUM(L87:M89)</f>
        <v>672110.34000000008</v>
      </c>
      <c r="M90" s="55"/>
      <c r="N90" s="57"/>
      <c r="O90" s="49"/>
      <c r="P90" s="49"/>
      <c r="Q90" s="49"/>
      <c r="R90" s="49"/>
    </row>
    <row r="91" spans="1:18" s="36" customFormat="1" ht="1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ht="15.75">
      <c r="A92" s="4"/>
      <c r="B92" s="58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ht="15.75">
      <c r="A93" s="4"/>
      <c r="B93" s="58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58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s="36" customFormat="1" ht="15.75">
      <c r="A95" s="49"/>
      <c r="B95" s="59" t="s">
        <v>93</v>
      </c>
      <c r="C95" s="49"/>
      <c r="D95" s="49"/>
      <c r="E95" s="49"/>
      <c r="F95" s="49"/>
      <c r="G95" s="49"/>
      <c r="H95" s="49"/>
      <c r="I95" s="49"/>
      <c r="J95" s="59" t="s">
        <v>94</v>
      </c>
      <c r="K95" s="59"/>
      <c r="L95" s="59"/>
      <c r="M95" s="59"/>
      <c r="N95" s="59"/>
      <c r="O95" s="59"/>
      <c r="P95" s="59"/>
      <c r="Q95" s="49"/>
      <c r="R95" s="49"/>
    </row>
    <row r="96" spans="1:18" ht="15.75">
      <c r="A96" s="4"/>
      <c r="B96" s="4"/>
      <c r="C96" s="4"/>
      <c r="D96" s="4"/>
      <c r="E96" s="4"/>
      <c r="F96" s="4"/>
      <c r="G96" s="4"/>
      <c r="H96" s="4"/>
      <c r="I96" s="4"/>
      <c r="J96" s="59" t="s">
        <v>95</v>
      </c>
      <c r="K96" s="59"/>
      <c r="L96" s="59"/>
      <c r="M96" s="59"/>
      <c r="N96" s="59"/>
      <c r="O96" s="59"/>
      <c r="P96" s="59"/>
      <c r="Q96" s="4"/>
      <c r="R96" s="4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59"/>
      <c r="K97" s="59"/>
      <c r="L97" s="59"/>
      <c r="M97" s="59"/>
      <c r="N97" s="59"/>
      <c r="O97" s="59"/>
      <c r="P97" s="59"/>
      <c r="Q97" s="4"/>
      <c r="R97" s="4"/>
    </row>
    <row r="98" spans="1:18" ht="15.75">
      <c r="E98" s="59" t="s">
        <v>96</v>
      </c>
      <c r="J98" s="60"/>
      <c r="K98" s="60"/>
      <c r="L98" s="60"/>
      <c r="M98" s="59"/>
      <c r="N98" s="60"/>
      <c r="O98" s="60"/>
      <c r="P98" s="60"/>
    </row>
  </sheetData>
  <mergeCells count="27">
    <mergeCell ref="L88:M88"/>
    <mergeCell ref="L89:M89"/>
    <mergeCell ref="L90:M90"/>
    <mergeCell ref="J49:K49"/>
    <mergeCell ref="J50:K50"/>
    <mergeCell ref="J51:K51"/>
    <mergeCell ref="B56:G56"/>
    <mergeCell ref="H56:I56"/>
    <mergeCell ref="L87:M87"/>
    <mergeCell ref="G15:H15"/>
    <mergeCell ref="C23:D23"/>
    <mergeCell ref="C24:D24"/>
    <mergeCell ref="C25:D25"/>
    <mergeCell ref="J47:K47"/>
    <mergeCell ref="J48:K48"/>
    <mergeCell ref="G9:H9"/>
    <mergeCell ref="G10:H10"/>
    <mergeCell ref="G11:H11"/>
    <mergeCell ref="G12:H12"/>
    <mergeCell ref="G13:H13"/>
    <mergeCell ref="G14:H14"/>
    <mergeCell ref="G2:I2"/>
    <mergeCell ref="B3:O3"/>
    <mergeCell ref="D4:M4"/>
    <mergeCell ref="G6:H6"/>
    <mergeCell ref="G7:H7"/>
    <mergeCell ref="G8:H8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2019-03-26T12:16:58Z</dcterms:created>
  <dcterms:modified xsi:type="dcterms:W3CDTF">2019-03-26T12:19:48Z</dcterms:modified>
</cp:coreProperties>
</file>