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Отчет о выполненных работах\"/>
    </mc:Choice>
  </mc:AlternateContent>
  <bookViews>
    <workbookView xWindow="0" yWindow="0" windowWidth="28800" windowHeight="1243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J4" i="1" s="1"/>
  <c r="J39" i="1" s="1"/>
  <c r="J7" i="1"/>
  <c r="K7" i="1"/>
  <c r="J8" i="1"/>
  <c r="K8" i="1"/>
  <c r="J11" i="1"/>
  <c r="J10" i="1" s="1"/>
  <c r="K11" i="1"/>
  <c r="J12" i="1"/>
  <c r="K12" i="1"/>
  <c r="J13" i="1"/>
  <c r="K13" i="1"/>
  <c r="J14" i="1"/>
  <c r="J15" i="1"/>
  <c r="K15" i="1"/>
  <c r="K10" i="1" s="1"/>
  <c r="J16" i="1"/>
  <c r="K16" i="1"/>
  <c r="J18" i="1"/>
  <c r="K18" i="1"/>
  <c r="J19" i="1"/>
  <c r="J17" i="1" s="1"/>
  <c r="K19" i="1"/>
  <c r="K17" i="1" s="1"/>
  <c r="J20" i="1"/>
  <c r="K20" i="1"/>
  <c r="J22" i="1"/>
  <c r="K22" i="1"/>
  <c r="K23" i="1"/>
  <c r="K24" i="1"/>
  <c r="K25" i="1"/>
  <c r="K29" i="1"/>
  <c r="J31" i="1"/>
  <c r="K31" i="1"/>
  <c r="J33" i="1"/>
  <c r="K33" i="1"/>
  <c r="J35" i="1"/>
  <c r="K35" i="1"/>
  <c r="J37" i="1"/>
  <c r="K37" i="1"/>
  <c r="J43" i="1"/>
  <c r="K43" i="1"/>
  <c r="K47" i="1"/>
  <c r="K48" i="1"/>
  <c r="K49" i="1"/>
  <c r="J40" i="1" l="1"/>
  <c r="J41" i="1" s="1"/>
  <c r="J45" i="1" s="1"/>
  <c r="K6" i="1"/>
  <c r="K4" i="1" s="1"/>
  <c r="K39" i="1" s="1"/>
  <c r="K40" i="1" l="1"/>
  <c r="K41" i="1" s="1"/>
  <c r="K45" i="1" s="1"/>
  <c r="K50" i="1" s="1"/>
</calcChain>
</file>

<file path=xl/sharedStrings.xml><?xml version="1.0" encoding="utf-8"?>
<sst xmlns="http://schemas.openxmlformats.org/spreadsheetml/2006/main" count="77" uniqueCount="77">
  <si>
    <t>Исаева Л.П.</t>
  </si>
  <si>
    <t>Председатель совета дома</t>
  </si>
  <si>
    <t>Радин В. Е.</t>
  </si>
  <si>
    <t>Директор ООО "Вектор Плюс"</t>
  </si>
  <si>
    <t>Поступления - расходы:</t>
  </si>
  <si>
    <t>Поступления прочие: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</si>
  <si>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</si>
  <si>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</si>
  <si>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</si>
  <si>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</si>
  <si>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</si>
  <si>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</si>
  <si>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</si>
  <si>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</si>
  <si>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</si>
  <si>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</si>
  <si>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</si>
  <si>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</si>
  <si>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</si>
  <si>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</si>
  <si>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Начисления на зарплату 30,2%</t>
  </si>
  <si>
    <t>5.2.</t>
  </si>
  <si>
    <t>Зарплата упол. представителя дома</t>
  </si>
  <si>
    <t>5.1.</t>
  </si>
  <si>
    <t>Затраты на упол. представителя дома</t>
  </si>
  <si>
    <t>5.</t>
  </si>
  <si>
    <t>4.6.</t>
  </si>
  <si>
    <t>Проверка дымоходов и вент.каналов</t>
  </si>
  <si>
    <t>4.5.</t>
  </si>
  <si>
    <t>Ремонт межпаненьных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</si>
  <si>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</si>
  <si>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</si>
  <si>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</si>
  <si>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</si>
  <si>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</si>
  <si>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КС-2)</t>
  </si>
  <si>
    <t>4.1.</t>
  </si>
  <si>
    <t>Тех. обслуж. и тек. ремонт общедом. имущества</t>
  </si>
  <si>
    <t>4.</t>
  </si>
  <si>
    <t>Оценка соответствия лифтов, отраб. срок служ.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</si>
  <si>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</si>
  <si>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</si>
  <si>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</si>
  <si>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</si>
  <si>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</si>
  <si>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</si>
  <si>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</si>
  <si>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</si>
  <si>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</si>
  <si>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Испытание и измерение электрооб.</t>
  </si>
  <si>
    <t>2.6.</t>
  </si>
  <si>
    <t>Тех.диагностика ВДГО</t>
  </si>
  <si>
    <t>2.5.</t>
  </si>
  <si>
    <t>Проверка вент.каналов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</si>
  <si>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</si>
  <si>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</si>
  <si>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</si>
  <si>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</si>
  <si>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</si>
  <si>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</si>
  <si>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</si>
  <si>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</si>
  <si>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</si>
  <si>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</si>
  <si>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</si>
  <si>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</si>
  <si>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</si>
  <si>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30.2%</t>
  </si>
  <si>
    <t>1.2.</t>
  </si>
  <si>
    <t>Зарплата дворников, уборщицы,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</si>
  <si>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</si>
  <si>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</si>
  <si>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</si>
  <si>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</si>
  <si>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</si>
  <si>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 xml:space="preserve"> д.26 по ул. Зубковой за январь-декабрь 2021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</si>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</sst>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1" fillId="0" borderId="0" xfId="0" applyNumberFormat="1" applyFont="1"/>
    <xf numFmtId="164" fontId="1" fillId="0" borderId="1" xfId="0" applyNumberFormat="1" applyFont="1" applyBorder="1"/>
    <xf numFmtId="43" fontId="1" fillId="0" borderId="0" xfId="0" applyNumberFormat="1" applyFo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5" fontId="1" fillId="0" borderId="0" xfId="0" applyNumberFormat="1" applyFo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tabSelected="1" topLeftCell="A22" workbookViewId="0">
      <selection activeCell="K50" sqref="K50"/>
    </sheetView>
  </sheetViews>
  <sheetFormatPr defaultRowHeight="12.75" x14ac:dyDescent="0.2"/>
  <cols>
    <col min="1" max="1" width="2.7109375" customWidth="1"/>
    <col min="2" max="2" width="6.140625" customWidth="1"/>
    <col min="3" max="7" width="8.5703125" customWidth="1"/>
    <col min="8" max="8" width="7.140625" customWidth="1"/>
    <col min="9" max="9" width="1.140625" customWidth="1"/>
    <col min="10" max="11" width="17.7109375" customWidth="1"/>
    <col min="12" max="12" width="2.42578125" customWidth="1"/>
    <col min="13" max="13" width="18.5703125" customWidth="1"/>
    <col min="14" max="14" width="17.5703125" customWidth="1"/>
    <col min="15" max="15" width="20" customWidth="1"/>
    <col min="16" max="16" width="17.140625" customWidth="1"/>
  </cols>
  <sheetData>
    <row r="1" spans="1:13" s="19" customFormat="1" ht="18" x14ac:dyDescent="0.25">
      <c r="A1" s="20" t="s">
        <v>76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s="19" customFormat="1" ht="18" x14ac:dyDescent="0.25">
      <c r="A2" s="20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s="1" customFormat="1" ht="15.75" x14ac:dyDescent="0.25">
      <c r="J3" s="18" t="s">
        <v>74</v>
      </c>
      <c r="K3" s="18" t="s">
        <v>73</v>
      </c>
    </row>
    <row r="4" spans="1:13" s="1" customFormat="1" ht="15.75" x14ac:dyDescent="0.25">
      <c r="A4" s="3" t="s">
        <v>72</v>
      </c>
      <c r="B4" s="7" t="s">
        <v>71</v>
      </c>
      <c r="C4" s="7"/>
      <c r="D4" s="7"/>
      <c r="E4" s="7"/>
      <c r="F4" s="7"/>
      <c r="G4" s="7"/>
      <c r="H4" s="7"/>
      <c r="J4" s="6">
        <f>SUM(J5:J9)</f>
        <v>1221344.6400000001</v>
      </c>
      <c r="K4" s="6">
        <f>SUM(K5:K9)</f>
        <v>1215489.9500000002</v>
      </c>
    </row>
    <row r="5" spans="1:13" s="1" customFormat="1" ht="15" x14ac:dyDescent="0.2">
      <c r="B5" s="1" t="s">
        <v>70</v>
      </c>
      <c r="C5" s="13" t="s">
        <v>69</v>
      </c>
      <c r="D5" s="13"/>
      <c r="E5" s="13"/>
      <c r="F5" s="13"/>
      <c r="J5" s="10">
        <f>72860*12</f>
        <v>874320</v>
      </c>
      <c r="K5" s="10">
        <f>193128.17+213150.57+221771.47+222308.44</f>
        <v>850358.64999999991</v>
      </c>
    </row>
    <row r="6" spans="1:13" s="1" customFormat="1" ht="15" x14ac:dyDescent="0.2">
      <c r="B6" s="1" t="s">
        <v>68</v>
      </c>
      <c r="C6" s="15" t="s">
        <v>67</v>
      </c>
      <c r="D6" s="15"/>
      <c r="E6" s="15"/>
      <c r="F6" s="15"/>
      <c r="J6" s="17">
        <f>ROUND(J5*30.2/100,2)</f>
        <v>264044.64</v>
      </c>
      <c r="K6" s="17">
        <f>ROUND(K5*30.2/100,2)</f>
        <v>256808.31</v>
      </c>
      <c r="M6" s="16"/>
    </row>
    <row r="7" spans="1:13" s="1" customFormat="1" ht="15" x14ac:dyDescent="0.2">
      <c r="B7" s="1" t="s">
        <v>66</v>
      </c>
      <c r="C7" s="15" t="s">
        <v>65</v>
      </c>
      <c r="D7" s="15"/>
      <c r="E7" s="15"/>
      <c r="J7" s="10">
        <f>3143*12</f>
        <v>37716</v>
      </c>
      <c r="K7" s="10">
        <f>5910.82+6313.56+4588.77+11650.97</f>
        <v>28464.120000000003</v>
      </c>
    </row>
    <row r="8" spans="1:13" s="1" customFormat="1" ht="15" x14ac:dyDescent="0.2">
      <c r="B8" s="1" t="s">
        <v>64</v>
      </c>
      <c r="C8" s="1" t="s">
        <v>63</v>
      </c>
      <c r="J8" s="10">
        <f>3772*12</f>
        <v>45264</v>
      </c>
      <c r="K8" s="10">
        <f>7204.87+17745.82+32159.6+22748.58</f>
        <v>79858.87</v>
      </c>
    </row>
    <row r="9" spans="1:13" s="1" customFormat="1" ht="15" x14ac:dyDescent="0.2">
      <c r="J9" s="10"/>
      <c r="K9" s="10"/>
    </row>
    <row r="10" spans="1:13" s="1" customFormat="1" ht="15.75" x14ac:dyDescent="0.25">
      <c r="A10" s="3" t="s">
        <v>62</v>
      </c>
      <c r="B10" s="7" t="s">
        <v>61</v>
      </c>
      <c r="C10" s="7"/>
      <c r="D10" s="7"/>
      <c r="E10" s="7"/>
      <c r="F10" s="7"/>
      <c r="J10" s="6">
        <f>SUM(J11:J16)</f>
        <v>371436</v>
      </c>
      <c r="K10" s="6">
        <f>SUM(K11:K16)</f>
        <v>343751.99000000005</v>
      </c>
    </row>
    <row r="11" spans="1:13" s="1" customFormat="1" ht="15" x14ac:dyDescent="0.2">
      <c r="B11" s="1" t="s">
        <v>60</v>
      </c>
      <c r="C11" s="15" t="s">
        <v>59</v>
      </c>
      <c r="D11" s="15"/>
      <c r="E11" s="15"/>
      <c r="F11" s="15"/>
      <c r="J11" s="10">
        <f>1271*12</f>
        <v>15252</v>
      </c>
      <c r="K11" s="10">
        <f>3813.15+3967.44+3967.44+3967.44</f>
        <v>15715.470000000001</v>
      </c>
    </row>
    <row r="12" spans="1:13" s="1" customFormat="1" ht="15" x14ac:dyDescent="0.2">
      <c r="B12" s="1" t="s">
        <v>58</v>
      </c>
      <c r="C12" s="15" t="s">
        <v>57</v>
      </c>
      <c r="D12" s="15"/>
      <c r="E12" s="15"/>
      <c r="F12" s="15"/>
      <c r="G12" s="15"/>
      <c r="H12" s="15"/>
      <c r="J12" s="10">
        <f>15245*12</f>
        <v>182940</v>
      </c>
      <c r="K12" s="10">
        <f>42357.79+51562.01+46498.34+45060.54</f>
        <v>185478.68000000002</v>
      </c>
    </row>
    <row r="13" spans="1:13" s="1" customFormat="1" ht="15" x14ac:dyDescent="0.2">
      <c r="B13" s="1" t="s">
        <v>56</v>
      </c>
      <c r="C13" s="15" t="s">
        <v>55</v>
      </c>
      <c r="D13" s="15"/>
      <c r="E13" s="15"/>
      <c r="F13" s="15"/>
      <c r="J13" s="10">
        <f>13353*12</f>
        <v>160236</v>
      </c>
      <c r="K13" s="10">
        <f>14620+124380+0+0</f>
        <v>139000</v>
      </c>
    </row>
    <row r="14" spans="1:13" s="1" customFormat="1" ht="15" x14ac:dyDescent="0.2">
      <c r="B14" s="1" t="s">
        <v>54</v>
      </c>
      <c r="C14" s="14" t="s">
        <v>53</v>
      </c>
      <c r="D14" s="14"/>
      <c r="E14" s="14"/>
      <c r="F14" s="14"/>
      <c r="J14" s="10">
        <f>897*12</f>
        <v>10764</v>
      </c>
      <c r="K14" s="10">
        <v>0</v>
      </c>
    </row>
    <row r="15" spans="1:13" s="1" customFormat="1" ht="15" x14ac:dyDescent="0.2">
      <c r="B15" s="1" t="s">
        <v>52</v>
      </c>
      <c r="C15" s="14" t="s">
        <v>51</v>
      </c>
      <c r="D15" s="14"/>
      <c r="E15" s="14"/>
      <c r="F15" s="14"/>
      <c r="J15" s="10">
        <f>0</f>
        <v>0</v>
      </c>
      <c r="K15" s="10">
        <f>0</f>
        <v>0</v>
      </c>
    </row>
    <row r="16" spans="1:13" s="1" customFormat="1" ht="15" x14ac:dyDescent="0.2">
      <c r="B16" s="1" t="s">
        <v>50</v>
      </c>
      <c r="C16" s="14" t="s">
        <v>49</v>
      </c>
      <c r="D16" s="14"/>
      <c r="E16" s="14"/>
      <c r="F16" s="14"/>
      <c r="J16" s="10">
        <f>187*12</f>
        <v>2244</v>
      </c>
      <c r="K16" s="10">
        <f>6.22*572</f>
        <v>3557.8399999999997</v>
      </c>
    </row>
    <row r="17" spans="1:15" s="1" customFormat="1" ht="15.75" x14ac:dyDescent="0.25">
      <c r="A17" s="3" t="s">
        <v>48</v>
      </c>
      <c r="B17" s="7" t="s">
        <v>47</v>
      </c>
      <c r="C17" s="7"/>
      <c r="D17" s="7"/>
      <c r="E17" s="7"/>
      <c r="F17" s="7"/>
      <c r="G17" s="7"/>
      <c r="H17" s="7"/>
      <c r="J17" s="6">
        <f>SUM(J18:J21)</f>
        <v>989760</v>
      </c>
      <c r="K17" s="6">
        <f>SUM(K18:K21)</f>
        <v>793800.01</v>
      </c>
    </row>
    <row r="18" spans="1:15" s="1" customFormat="1" ht="15" x14ac:dyDescent="0.2">
      <c r="B18" s="14" t="s">
        <v>46</v>
      </c>
      <c r="C18" s="15" t="s">
        <v>45</v>
      </c>
      <c r="D18" s="15"/>
      <c r="E18" s="15"/>
      <c r="F18" s="15"/>
      <c r="G18" s="15"/>
      <c r="J18" s="10">
        <f>76585*12</f>
        <v>919020</v>
      </c>
      <c r="K18" s="10">
        <f>102432.17+229754.4+229754.4+229754.4</f>
        <v>791695.37</v>
      </c>
    </row>
    <row r="19" spans="1:15" s="1" customFormat="1" ht="15" x14ac:dyDescent="0.2">
      <c r="B19" s="14" t="s">
        <v>44</v>
      </c>
      <c r="C19" s="15" t="s">
        <v>43</v>
      </c>
      <c r="D19" s="15"/>
      <c r="E19" s="15"/>
      <c r="F19" s="15"/>
      <c r="G19" s="15"/>
      <c r="H19" s="13"/>
      <c r="J19" s="10">
        <f>5695*12</f>
        <v>68340</v>
      </c>
      <c r="K19" s="10">
        <f>0+0+0</f>
        <v>0</v>
      </c>
    </row>
    <row r="20" spans="1:15" s="1" customFormat="1" ht="15" x14ac:dyDescent="0.2">
      <c r="B20" s="1" t="s">
        <v>42</v>
      </c>
      <c r="C20" s="1" t="s">
        <v>41</v>
      </c>
      <c r="J20" s="10">
        <f>200*12</f>
        <v>2400</v>
      </c>
      <c r="K20" s="10">
        <f>131.54*16</f>
        <v>2104.64</v>
      </c>
    </row>
    <row r="21" spans="1:15" s="1" customFormat="1" ht="15" x14ac:dyDescent="0.2">
      <c r="B21" s="1" t="s">
        <v>40</v>
      </c>
      <c r="C21" s="1" t="s">
        <v>39</v>
      </c>
      <c r="J21" s="10"/>
      <c r="K21" s="10"/>
      <c r="M21" s="9"/>
      <c r="N21" s="9"/>
      <c r="O21" s="9"/>
    </row>
    <row r="22" spans="1:15" s="1" customFormat="1" ht="15.75" x14ac:dyDescent="0.25">
      <c r="A22" s="3" t="s">
        <v>38</v>
      </c>
      <c r="B22" s="12" t="s">
        <v>37</v>
      </c>
      <c r="C22" s="12"/>
      <c r="D22" s="12"/>
      <c r="J22" s="6">
        <f>123750*12</f>
        <v>1485000</v>
      </c>
      <c r="K22" s="6">
        <f>SUM(K23:K28)</f>
        <v>1397664.4899999998</v>
      </c>
    </row>
    <row r="23" spans="1:15" s="1" customFormat="1" ht="15" x14ac:dyDescent="0.2">
      <c r="B23" s="1" t="s">
        <v>36</v>
      </c>
      <c r="C23" s="13" t="s">
        <v>35</v>
      </c>
      <c r="D23" s="13"/>
      <c r="J23" s="10"/>
      <c r="K23" s="10">
        <f>137733.62+142251.37+474952.25+85900.02</f>
        <v>840837.26</v>
      </c>
    </row>
    <row r="24" spans="1:15" s="1" customFormat="1" ht="15" x14ac:dyDescent="0.2">
      <c r="B24" s="1" t="s">
        <v>34</v>
      </c>
      <c r="C24" s="15" t="s">
        <v>33</v>
      </c>
      <c r="D24" s="15"/>
      <c r="E24" s="15"/>
      <c r="F24" s="15"/>
      <c r="G24" s="15"/>
      <c r="J24" s="10"/>
      <c r="K24" s="10">
        <f>141284.08+95492.81+61946.93+83857.05</f>
        <v>382580.87</v>
      </c>
    </row>
    <row r="25" spans="1:15" s="1" customFormat="1" ht="15" x14ac:dyDescent="0.2">
      <c r="B25" s="1" t="s">
        <v>32</v>
      </c>
      <c r="C25" s="15" t="s">
        <v>31</v>
      </c>
      <c r="D25" s="15"/>
      <c r="E25" s="15"/>
      <c r="F25" s="15"/>
      <c r="G25" s="13"/>
      <c r="H25" s="13"/>
      <c r="J25" s="10"/>
      <c r="K25" s="10">
        <f>31701.88+54709.45+47343.95+40491.08</f>
        <v>174246.36</v>
      </c>
    </row>
    <row r="26" spans="1:15" s="1" customFormat="1" ht="15" x14ac:dyDescent="0.2">
      <c r="B26" s="1" t="s">
        <v>30</v>
      </c>
      <c r="C26" s="14" t="s">
        <v>29</v>
      </c>
      <c r="D26" s="14"/>
      <c r="E26" s="14"/>
      <c r="F26" s="14"/>
      <c r="G26" s="13"/>
      <c r="H26" s="13"/>
      <c r="J26" s="10"/>
      <c r="K26" s="10">
        <v>0</v>
      </c>
    </row>
    <row r="27" spans="1:15" s="1" customFormat="1" ht="15" x14ac:dyDescent="0.2">
      <c r="B27" s="1" t="s">
        <v>28</v>
      </c>
      <c r="C27" s="14" t="s">
        <v>27</v>
      </c>
      <c r="D27" s="14"/>
      <c r="E27" s="14"/>
      <c r="F27" s="14"/>
      <c r="G27" s="13"/>
      <c r="H27" s="13"/>
      <c r="J27" s="10"/>
      <c r="K27" s="10"/>
    </row>
    <row r="28" spans="1:15" s="1" customFormat="1" ht="15" x14ac:dyDescent="0.2">
      <c r="B28" s="1" t="s">
        <v>26</v>
      </c>
      <c r="C28" s="14"/>
      <c r="D28" s="14"/>
      <c r="E28" s="14"/>
      <c r="F28" s="14"/>
      <c r="G28" s="13"/>
      <c r="H28" s="13"/>
      <c r="J28" s="10"/>
      <c r="K28" s="10"/>
    </row>
    <row r="29" spans="1:15" s="1" customFormat="1" ht="15.75" x14ac:dyDescent="0.25">
      <c r="A29" s="3" t="s">
        <v>25</v>
      </c>
      <c r="B29" s="12" t="s">
        <v>24</v>
      </c>
      <c r="C29" s="12"/>
      <c r="D29" s="12"/>
      <c r="J29" s="6">
        <v>0</v>
      </c>
      <c r="K29" s="6">
        <f>K30+K31</f>
        <v>0</v>
      </c>
    </row>
    <row r="30" spans="1:15" s="1" customFormat="1" ht="15.75" x14ac:dyDescent="0.25">
      <c r="A30" s="3"/>
      <c r="B30" s="13" t="s">
        <v>23</v>
      </c>
      <c r="C30" s="13" t="s">
        <v>22</v>
      </c>
      <c r="D30" s="13"/>
      <c r="J30" s="6">
        <v>0</v>
      </c>
      <c r="K30" s="10"/>
    </row>
    <row r="31" spans="1:15" s="1" customFormat="1" ht="15.75" x14ac:dyDescent="0.25">
      <c r="A31" s="3"/>
      <c r="B31" s="13" t="s">
        <v>21</v>
      </c>
      <c r="C31" s="13" t="s">
        <v>20</v>
      </c>
      <c r="D31" s="13"/>
      <c r="J31" s="10">
        <f>J30*0.302</f>
        <v>0</v>
      </c>
      <c r="K31" s="10">
        <f>K30*0.302</f>
        <v>0</v>
      </c>
    </row>
    <row r="32" spans="1:15" s="1" customFormat="1" ht="15.75" x14ac:dyDescent="0.25">
      <c r="A32" s="3"/>
      <c r="B32" s="12"/>
      <c r="C32" s="12"/>
      <c r="D32" s="12"/>
      <c r="J32" s="6"/>
      <c r="K32" s="6"/>
    </row>
    <row r="33" spans="1:16" s="1" customFormat="1" ht="15.75" x14ac:dyDescent="0.25">
      <c r="A33" s="3" t="s">
        <v>19</v>
      </c>
      <c r="B33" s="7" t="s">
        <v>18</v>
      </c>
      <c r="C33" s="7"/>
      <c r="D33" s="7"/>
      <c r="E33" s="7"/>
      <c r="J33" s="6">
        <f>64170*12</f>
        <v>770040</v>
      </c>
      <c r="K33" s="6">
        <f>542752.8+146892.31</f>
        <v>689645.1100000001</v>
      </c>
      <c r="M33" s="11"/>
    </row>
    <row r="34" spans="1:16" s="1" customFormat="1" ht="15" x14ac:dyDescent="0.2">
      <c r="J34" s="10"/>
      <c r="K34" s="10"/>
      <c r="M34" s="11"/>
    </row>
    <row r="35" spans="1:16" s="1" customFormat="1" ht="15.75" x14ac:dyDescent="0.25">
      <c r="A35" s="3" t="s">
        <v>17</v>
      </c>
      <c r="B35" s="7" t="s">
        <v>16</v>
      </c>
      <c r="C35" s="7"/>
      <c r="D35" s="7"/>
      <c r="E35" s="7"/>
      <c r="F35" s="7"/>
      <c r="J35" s="6">
        <f>134970*12</f>
        <v>1619640</v>
      </c>
      <c r="K35" s="6">
        <f>1214751.6+400030.24</f>
        <v>1614781.84</v>
      </c>
      <c r="M35" s="11"/>
    </row>
    <row r="36" spans="1:16" s="1" customFormat="1" ht="15" x14ac:dyDescent="0.2">
      <c r="J36" s="10"/>
      <c r="K36" s="10"/>
    </row>
    <row r="37" spans="1:16" s="1" customFormat="1" ht="15.75" x14ac:dyDescent="0.25">
      <c r="A37" s="3" t="s">
        <v>15</v>
      </c>
      <c r="B37" s="3" t="s">
        <v>14</v>
      </c>
      <c r="J37" s="6">
        <f>9580*12</f>
        <v>114960</v>
      </c>
      <c r="K37" s="6">
        <f>108511.14</f>
        <v>108511.14</v>
      </c>
    </row>
    <row r="38" spans="1:16" s="1" customFormat="1" ht="15" x14ac:dyDescent="0.2">
      <c r="J38" s="10"/>
      <c r="K38" s="10"/>
    </row>
    <row r="39" spans="1:16" s="1" customFormat="1" ht="15.75" x14ac:dyDescent="0.25">
      <c r="B39" s="3" t="s">
        <v>13</v>
      </c>
      <c r="J39" s="6">
        <f>J4+J10+J17+J22+J33+J35+J37</f>
        <v>6572180.6400000006</v>
      </c>
      <c r="K39" s="6">
        <f>K4+K10+K17+K22+K29+K33+K35+K37</f>
        <v>6163644.5299999993</v>
      </c>
      <c r="M39" s="9"/>
      <c r="N39" s="9"/>
      <c r="O39" s="9"/>
      <c r="P39" s="9"/>
    </row>
    <row r="40" spans="1:16" s="1" customFormat="1" ht="15.75" x14ac:dyDescent="0.25">
      <c r="B40" s="3" t="s">
        <v>12</v>
      </c>
      <c r="J40" s="10">
        <f>ROUND(J39*7/100,2)</f>
        <v>460052.64</v>
      </c>
      <c r="K40" s="10">
        <f>ROUND(K39*7/100,2)</f>
        <v>431455.12</v>
      </c>
      <c r="M40" s="9"/>
      <c r="N40" s="9"/>
      <c r="O40" s="9"/>
      <c r="P40" s="9"/>
    </row>
    <row r="41" spans="1:16" s="1" customFormat="1" ht="15.75" x14ac:dyDescent="0.25">
      <c r="B41" s="7" t="s">
        <v>11</v>
      </c>
      <c r="C41" s="7"/>
      <c r="D41" s="7"/>
      <c r="J41" s="6">
        <f>SUM(J39:J40)</f>
        <v>7032233.2800000003</v>
      </c>
      <c r="K41" s="6">
        <f>SUM(K39:K40)</f>
        <v>6595099.6499999994</v>
      </c>
    </row>
    <row r="42" spans="1:16" s="1" customFormat="1" ht="15.75" x14ac:dyDescent="0.25">
      <c r="B42" s="8"/>
      <c r="C42" s="8"/>
      <c r="D42" s="8"/>
      <c r="J42" s="6"/>
      <c r="K42" s="6"/>
    </row>
    <row r="43" spans="1:16" s="3" customFormat="1" ht="15.75" x14ac:dyDescent="0.25">
      <c r="A43" s="3" t="s">
        <v>10</v>
      </c>
      <c r="B43" s="3" t="s">
        <v>9</v>
      </c>
      <c r="J43" s="6">
        <f>88350*12</f>
        <v>1060200</v>
      </c>
      <c r="K43" s="6">
        <f>262419.32+265066.32+302092.06+344531.31</f>
        <v>1174109.01</v>
      </c>
    </row>
    <row r="44" spans="1:16" s="3" customFormat="1" ht="15.75" x14ac:dyDescent="0.25">
      <c r="J44" s="6"/>
      <c r="K44" s="6"/>
    </row>
    <row r="45" spans="1:16" s="3" customFormat="1" ht="15.75" x14ac:dyDescent="0.25">
      <c r="B45" s="3" t="s">
        <v>8</v>
      </c>
      <c r="J45" s="6">
        <f>J41+J43</f>
        <v>8092433.2800000003</v>
      </c>
      <c r="K45" s="6">
        <f>K41+K43</f>
        <v>7769208.6599999992</v>
      </c>
    </row>
    <row r="46" spans="1:16" s="1" customFormat="1" ht="15.75" x14ac:dyDescent="0.25">
      <c r="B46" s="8"/>
      <c r="C46" s="8"/>
      <c r="D46" s="8"/>
      <c r="J46" s="6"/>
      <c r="K46" s="6"/>
    </row>
    <row r="47" spans="1:16" s="3" customFormat="1" ht="15.75" x14ac:dyDescent="0.25">
      <c r="A47" s="7" t="s">
        <v>7</v>
      </c>
      <c r="B47" s="7"/>
      <c r="C47" s="7"/>
      <c r="D47" s="7"/>
      <c r="J47" s="6"/>
      <c r="K47" s="6">
        <f>1985729.43+2005915.74+2019317.82+2017650.94</f>
        <v>8028613.9299999997</v>
      </c>
    </row>
    <row r="48" spans="1:16" s="3" customFormat="1" ht="15.75" x14ac:dyDescent="0.25">
      <c r="A48" s="7" t="s">
        <v>6</v>
      </c>
      <c r="B48" s="7"/>
      <c r="C48" s="7"/>
      <c r="D48" s="7"/>
      <c r="E48" s="7"/>
      <c r="F48" s="7"/>
      <c r="J48" s="6"/>
      <c r="K48" s="6">
        <f>1824464.53+1890928.71+1964124.36+1979288.76</f>
        <v>7658806.3600000003</v>
      </c>
    </row>
    <row r="49" spans="1:11" s="1" customFormat="1" ht="15.75" x14ac:dyDescent="0.25">
      <c r="A49" s="3" t="s">
        <v>5</v>
      </c>
      <c r="K49" s="5">
        <f>14985.18+24672.01+23667.55+24852.01</f>
        <v>88176.75</v>
      </c>
    </row>
    <row r="50" spans="1:11" s="1" customFormat="1" ht="15.75" x14ac:dyDescent="0.25">
      <c r="A50" s="3" t="s">
        <v>4</v>
      </c>
      <c r="K50" s="4">
        <f>K48+K49-K45</f>
        <v>-22225.549999998882</v>
      </c>
    </row>
    <row r="51" spans="1:11" s="1" customFormat="1" ht="15.75" x14ac:dyDescent="0.25">
      <c r="A51" s="3"/>
    </row>
    <row r="52" spans="1:11" s="1" customFormat="1" ht="15" x14ac:dyDescent="0.2">
      <c r="B52" s="1" t="s">
        <v>3</v>
      </c>
      <c r="J52" s="1" t="s">
        <v>2</v>
      </c>
    </row>
    <row r="53" spans="1:11" s="1" customFormat="1" ht="15" x14ac:dyDescent="0.2"/>
    <row r="54" spans="1:11" s="1" customFormat="1" ht="15" x14ac:dyDescent="0.2">
      <c r="B54" s="1" t="s">
        <v>1</v>
      </c>
      <c r="I54" s="2"/>
      <c r="J54" s="1" t="s">
        <v>0</v>
      </c>
    </row>
    <row r="55" spans="1:11" s="1" customFormat="1" ht="15" x14ac:dyDescent="0.2"/>
    <row r="56" spans="1:11" s="1" customFormat="1" ht="15" x14ac:dyDescent="0.2"/>
    <row r="57" spans="1:11" s="1" customFormat="1" ht="15" x14ac:dyDescent="0.2"/>
    <row r="58" spans="1:11" s="1" customFormat="1" ht="15" x14ac:dyDescent="0.2"/>
    <row r="59" spans="1:11" s="1" customFormat="1" ht="15" x14ac:dyDescent="0.2"/>
    <row r="60" spans="1:11" s="1" customFormat="1" ht="15" x14ac:dyDescent="0.2"/>
    <row r="61" spans="1:11" s="1" customFormat="1" ht="15" x14ac:dyDescent="0.2"/>
    <row r="62" spans="1:11" s="1" customFormat="1" ht="15" x14ac:dyDescent="0.2"/>
    <row r="63" spans="1:11" s="1" customFormat="1" ht="15" x14ac:dyDescent="0.2"/>
    <row r="64" spans="1:11" s="1" customFormat="1" ht="15" x14ac:dyDescent="0.2"/>
    <row r="65" s="1" customFormat="1" ht="15" x14ac:dyDescent="0.2"/>
    <row r="66" s="1" customFormat="1" ht="15" x14ac:dyDescent="0.2"/>
    <row r="67" s="1" customFormat="1" ht="15" x14ac:dyDescent="0.2"/>
    <row r="68" s="1" customFormat="1" ht="15" x14ac:dyDescent="0.2"/>
    <row r="69" s="1" customFormat="1" ht="15" x14ac:dyDescent="0.2"/>
    <row r="70" s="1" customFormat="1" ht="15" x14ac:dyDescent="0.2"/>
    <row r="71" s="1" customFormat="1" ht="15" x14ac:dyDescent="0.2"/>
    <row r="72" s="1" customFormat="1" ht="15" x14ac:dyDescent="0.2"/>
    <row r="73" s="1" customFormat="1" ht="15" x14ac:dyDescent="0.2"/>
    <row r="74" s="1" customFormat="1" ht="15" x14ac:dyDescent="0.2"/>
    <row r="75" s="1" customFormat="1" ht="15" x14ac:dyDescent="0.2"/>
    <row r="76" s="1" customFormat="1" ht="15" x14ac:dyDescent="0.2"/>
    <row r="77" s="1" customFormat="1" ht="15" x14ac:dyDescent="0.2"/>
    <row r="78" s="1" customFormat="1" ht="15" x14ac:dyDescent="0.2"/>
    <row r="79" s="1" customFormat="1" ht="15" x14ac:dyDescent="0.2"/>
    <row r="80" s="1" customFormat="1" ht="15" x14ac:dyDescent="0.2"/>
    <row r="81" s="1" customFormat="1" ht="15" x14ac:dyDescent="0.2"/>
    <row r="82" s="1" customFormat="1" ht="15" x14ac:dyDescent="0.2"/>
    <row r="83" s="1" customFormat="1" ht="15" x14ac:dyDescent="0.2"/>
    <row r="84" s="1" customFormat="1" ht="15" x14ac:dyDescent="0.2"/>
    <row r="85" s="1" customFormat="1" ht="15" x14ac:dyDescent="0.2"/>
    <row r="86" s="1" customFormat="1" ht="15" x14ac:dyDescent="0.2"/>
    <row r="87" s="1" customFormat="1" ht="15" x14ac:dyDescent="0.2"/>
    <row r="88" s="1" customFormat="1" ht="15" x14ac:dyDescent="0.2"/>
    <row r="89" s="1" customFormat="1" ht="15" x14ac:dyDescent="0.2"/>
    <row r="90" s="1" customFormat="1" ht="15" x14ac:dyDescent="0.2"/>
    <row r="91" s="1" customFormat="1" ht="15" x14ac:dyDescent="0.2"/>
    <row r="92" s="1" customFormat="1" ht="15" x14ac:dyDescent="0.2"/>
    <row r="93" s="1" customFormat="1" ht="15" x14ac:dyDescent="0.2"/>
    <row r="94" s="1" customFormat="1" ht="15" x14ac:dyDescent="0.2"/>
    <row r="95" s="1" customFormat="1" ht="15" x14ac:dyDescent="0.2"/>
    <row r="96" s="1" customFormat="1" ht="15" x14ac:dyDescent="0.2"/>
    <row r="97" s="1" customFormat="1" ht="15" x14ac:dyDescent="0.2"/>
    <row r="98" s="1" customFormat="1" ht="15" x14ac:dyDescent="0.2"/>
    <row r="99" s="1" customFormat="1" ht="15" x14ac:dyDescent="0.2"/>
    <row r="100" s="1" customFormat="1" ht="15" x14ac:dyDescent="0.2"/>
    <row r="101" s="1" customFormat="1" ht="15" x14ac:dyDescent="0.2"/>
    <row r="102" s="1" customFormat="1" ht="15" x14ac:dyDescent="0.2"/>
    <row r="103" s="1" customFormat="1" ht="15" x14ac:dyDescent="0.2"/>
    <row r="104" s="1" customFormat="1" ht="15" x14ac:dyDescent="0.2"/>
    <row r="105" s="1" customFormat="1" ht="15" x14ac:dyDescent="0.2"/>
    <row r="106" s="1" customFormat="1" ht="15" x14ac:dyDescent="0.2"/>
    <row r="107" s="1" customFormat="1" ht="15" x14ac:dyDescent="0.2"/>
    <row r="108" s="1" customFormat="1" ht="15" x14ac:dyDescent="0.2"/>
    <row r="109" s="1" customFormat="1" ht="15" x14ac:dyDescent="0.2"/>
    <row r="110" s="1" customFormat="1" ht="15" x14ac:dyDescent="0.2"/>
    <row r="111" s="1" customFormat="1" ht="15" x14ac:dyDescent="0.2"/>
    <row r="112" s="1" customFormat="1" ht="15" x14ac:dyDescent="0.2"/>
    <row r="113" s="1" customFormat="1" ht="15" x14ac:dyDescent="0.2"/>
    <row r="114" s="1" customFormat="1" ht="15" x14ac:dyDescent="0.2"/>
    <row r="115" s="1" customFormat="1" ht="15" x14ac:dyDescent="0.2"/>
    <row r="116" s="1" customFormat="1" ht="15" x14ac:dyDescent="0.2"/>
    <row r="117" s="1" customFormat="1" ht="15" x14ac:dyDescent="0.2"/>
    <row r="118" s="1" customFormat="1" ht="15" x14ac:dyDescent="0.2"/>
    <row r="119" s="1" customFormat="1" ht="15" x14ac:dyDescent="0.2"/>
    <row r="120" s="1" customFormat="1" ht="15" x14ac:dyDescent="0.2"/>
    <row r="121" s="1" customFormat="1" ht="15" x14ac:dyDescent="0.2"/>
    <row r="122" s="1" customFormat="1" ht="15" x14ac:dyDescent="0.2"/>
    <row r="123" s="1" customFormat="1" ht="15" x14ac:dyDescent="0.2"/>
    <row r="124" s="1" customFormat="1" ht="15" x14ac:dyDescent="0.2"/>
    <row r="125" s="1" customFormat="1" ht="15" x14ac:dyDescent="0.2"/>
    <row r="126" s="1" customFormat="1" ht="15" x14ac:dyDescent="0.2"/>
    <row r="127" s="1" customFormat="1" ht="15" x14ac:dyDescent="0.2"/>
    <row r="128" s="1" customFormat="1" ht="15" x14ac:dyDescent="0.2"/>
    <row r="129" s="1" customFormat="1" ht="15" x14ac:dyDescent="0.2"/>
    <row r="130" s="1" customFormat="1" ht="15" x14ac:dyDescent="0.2"/>
    <row r="131" s="1" customFormat="1" ht="15" x14ac:dyDescent="0.2"/>
    <row r="132" s="1" customFormat="1" ht="15" x14ac:dyDescent="0.2"/>
    <row r="133" s="1" customFormat="1" ht="15" x14ac:dyDescent="0.2"/>
    <row r="134" s="1" customFormat="1" ht="15" x14ac:dyDescent="0.2"/>
    <row r="135" s="1" customFormat="1" ht="15" x14ac:dyDescent="0.2"/>
    <row r="136" s="1" customFormat="1" ht="15" x14ac:dyDescent="0.2"/>
    <row r="137" s="1" customFormat="1" ht="15" x14ac:dyDescent="0.2"/>
    <row r="138" s="1" customFormat="1" ht="15" x14ac:dyDescent="0.2"/>
    <row r="139" s="1" customFormat="1" ht="15" x14ac:dyDescent="0.2"/>
    <row r="140" s="1" customFormat="1" ht="15" x14ac:dyDescent="0.2"/>
    <row r="141" s="1" customFormat="1" ht="15" x14ac:dyDescent="0.2"/>
    <row r="142" s="1" customFormat="1" ht="15" x14ac:dyDescent="0.2"/>
    <row r="143" s="1" customFormat="1" ht="15" x14ac:dyDescent="0.2"/>
    <row r="144" s="1" customFormat="1" ht="15" x14ac:dyDescent="0.2"/>
    <row r="145" s="1" customFormat="1" ht="15" x14ac:dyDescent="0.2"/>
    <row r="146" s="1" customFormat="1" ht="15" x14ac:dyDescent="0.2"/>
    <row r="147" s="1" customFormat="1" ht="15" x14ac:dyDescent="0.2"/>
    <row r="148" s="1" customFormat="1" ht="15" x14ac:dyDescent="0.2"/>
    <row r="149" s="1" customFormat="1" ht="15" x14ac:dyDescent="0.2"/>
    <row r="150" s="1" customFormat="1" ht="15" x14ac:dyDescent="0.2"/>
    <row r="151" s="1" customFormat="1" ht="15" x14ac:dyDescent="0.2"/>
    <row r="152" s="1" customFormat="1" ht="15" x14ac:dyDescent="0.2"/>
    <row r="153" s="1" customFormat="1" ht="15" x14ac:dyDescent="0.2"/>
    <row r="154" s="1" customFormat="1" ht="15" x14ac:dyDescent="0.2"/>
    <row r="155" s="1" customFormat="1" ht="15" x14ac:dyDescent="0.2"/>
    <row r="156" s="1" customFormat="1" ht="15" x14ac:dyDescent="0.2"/>
    <row r="157" s="1" customFormat="1" ht="15" x14ac:dyDescent="0.2"/>
    <row r="158" s="1" customFormat="1" ht="15" x14ac:dyDescent="0.2"/>
    <row r="159" s="1" customFormat="1" ht="15" x14ac:dyDescent="0.2"/>
    <row r="160" s="1" customFormat="1" ht="15" x14ac:dyDescent="0.2"/>
    <row r="161" s="1" customFormat="1" ht="15" x14ac:dyDescent="0.2"/>
    <row r="162" s="1" customFormat="1" ht="15" x14ac:dyDescent="0.2"/>
    <row r="163" s="1" customFormat="1" ht="15" x14ac:dyDescent="0.2"/>
    <row r="164" s="1" customFormat="1" ht="15" x14ac:dyDescent="0.2"/>
    <row r="165" s="1" customFormat="1" ht="15" x14ac:dyDescent="0.2"/>
    <row r="166" s="1" customFormat="1" ht="15" x14ac:dyDescent="0.2"/>
    <row r="167" s="1" customFormat="1" ht="15" x14ac:dyDescent="0.2"/>
    <row r="168" s="1" customFormat="1" ht="15" x14ac:dyDescent="0.2"/>
    <row r="169" s="1" customFormat="1" ht="15" x14ac:dyDescent="0.2"/>
    <row r="170" s="1" customFormat="1" ht="15" x14ac:dyDescent="0.2"/>
    <row r="171" s="1" customFormat="1" ht="15" x14ac:dyDescent="0.2"/>
    <row r="172" s="1" customFormat="1" ht="15" x14ac:dyDescent="0.2"/>
    <row r="173" s="1" customFormat="1" ht="15" x14ac:dyDescent="0.2"/>
    <row r="174" s="1" customFormat="1" ht="15" x14ac:dyDescent="0.2"/>
    <row r="175" s="1" customFormat="1" ht="15" x14ac:dyDescent="0.2"/>
    <row r="176" s="1" customFormat="1" ht="15" x14ac:dyDescent="0.2"/>
    <row r="177" s="1" customFormat="1" ht="15" x14ac:dyDescent="0.2"/>
  </sheetData>
  <mergeCells count="19">
    <mergeCell ref="C6:F6"/>
    <mergeCell ref="C24:G24"/>
    <mergeCell ref="C18:G18"/>
    <mergeCell ref="C19:G19"/>
    <mergeCell ref="C13:F13"/>
    <mergeCell ref="A1:K1"/>
    <mergeCell ref="A2:K2"/>
    <mergeCell ref="C7:E7"/>
    <mergeCell ref="B4:H4"/>
    <mergeCell ref="A47:D47"/>
    <mergeCell ref="B41:D41"/>
    <mergeCell ref="B10:F10"/>
    <mergeCell ref="B17:H17"/>
    <mergeCell ref="A48:F48"/>
    <mergeCell ref="B35:F35"/>
    <mergeCell ref="C11:F11"/>
    <mergeCell ref="C12:H12"/>
    <mergeCell ref="C25:F25"/>
    <mergeCell ref="B33:E33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2022-03-29T12:29:05Z</dcterms:created>
  <dcterms:modified xsi:type="dcterms:W3CDTF">2022-03-29T12:29:24Z</dcterms:modified>
</cp:coreProperties>
</file>