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Дружб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K14" i="1"/>
  <c r="J16" i="1"/>
  <c r="K16" i="1"/>
  <c r="J18" i="1"/>
  <c r="K18" i="1"/>
  <c r="J19" i="1"/>
  <c r="J17" i="1" s="1"/>
  <c r="K19" i="1"/>
  <c r="K17" i="1" s="1"/>
  <c r="J20" i="1"/>
  <c r="K20" i="1"/>
  <c r="J22" i="1"/>
  <c r="K22" i="1"/>
  <c r="K23" i="1"/>
  <c r="K24" i="1"/>
  <c r="K25" i="1"/>
  <c r="J33" i="1"/>
  <c r="J34" i="1"/>
  <c r="K34" i="1"/>
  <c r="K33" i="1" s="1"/>
  <c r="J35" i="1"/>
  <c r="K35" i="1"/>
  <c r="J37" i="1"/>
  <c r="K37" i="1"/>
  <c r="J43" i="1"/>
  <c r="K43" i="1"/>
  <c r="K46" i="1"/>
  <c r="K47" i="1"/>
  <c r="K6" i="1" l="1"/>
  <c r="K4" i="1" s="1"/>
  <c r="K39" i="1" s="1"/>
  <c r="J6" i="1"/>
  <c r="J4" i="1" s="1"/>
  <c r="J39" i="1" s="1"/>
  <c r="J40" i="1" l="1"/>
  <c r="J41" i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<sst xmlns="http://schemas.openxmlformats.org/spreadsheetml/2006/main" count="76" uniqueCount="76">
  <si>
    <t>Кузнецов С. И.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</si>
  <si>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</si>
  <si>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</si>
  <si>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</si>
  <si>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</si>
  <si>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</si>
  <si>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</si>
  <si>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</si>
  <si>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</si>
  <si>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</si>
  <si>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</si>
  <si>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</si>
  <si>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</si>
  <si>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</si>
  <si>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</si>
  <si>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</si>
  <si>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</si>
  <si>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</si>
  <si>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</si>
  <si>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</si>
  <si>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</si>
  <si>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</si>
  <si>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</si>
  <si>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</si>
  <si>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</si>
  <si>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</si>
  <si>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</si>
  <si>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</si>
  <si>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</si>
  <si>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</si>
  <si>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</si>
  <si>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</si>
  <si>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</si>
  <si>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</si>
  <si>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</si>
  <si>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</si>
  <si>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</si>
  <si>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</si>
  <si>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</si>
  <si>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</si>
  <si>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</si>
  <si>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</si>
  <si>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</si>
  <si>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</si>
  <si>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</si>
  <si>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</si>
  <si>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</si>
  <si>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</si>
  <si>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</si>
  <si>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</si>
  <si>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</si>
  <si>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</si>
  <si>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</si>
  <si>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</si>
  <si>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</si>
  <si>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</si>
  <si>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</si>
  <si>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</si>
  <si>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</si>
  <si>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</si>
  <si>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</si>
  <si>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</si>
  <si>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</si>
  <si>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</si>
  <si>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</si>
  <si>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</si>
  <si>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</si>
  <si>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</si>
  <si>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</si>
  <si>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</si>
  <si>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</si>
  <si>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</si>
  <si>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</si>
  <si>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</si>
  <si>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ТСЖ "Дружба", ул. Новосёлов д. 58 кор. 3-6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</si>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</sst>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</numFmts>
  <fonts count="4" x14ac:knownFonts="1"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3" fontId="1" fillId="0" borderId="0" xfId="0" applyNumberFormat="1" applyFont="1"/>
    <xf numFmtId="4" fontId="2" fillId="0" borderId="0" xfId="0" applyNumberFormat="1" applyFont="1"/>
    <xf numFmtId="164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2" fillId="0" borderId="1" xfId="0" applyFont="1" applyBorder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abSelected="1" topLeftCell="A25" workbookViewId="0">
      <selection activeCell="O40" sqref="O40"/>
    </sheetView>
  </sheetViews>
  <sheetFormatPr defaultRowHeight="12.75" x14ac:dyDescent="0.2"/>
  <cols>
    <col min="1" max="1" width="2.85546875" customWidth="1"/>
    <col min="2" max="2" width="5.140625" customWidth="1"/>
    <col min="3" max="5" width="8.5703125" customWidth="1"/>
    <col min="7" max="7" width="8.5703125" customWidth="1"/>
    <col min="8" max="8" width="7.5703125" customWidth="1"/>
    <col min="9" max="9" width="1.42578125" customWidth="1"/>
    <col min="10" max="11" width="17.7109375" customWidth="1"/>
    <col min="12" max="12" width="3.140625" customWidth="1"/>
    <col min="13" max="13" width="19.28515625" style="1" customWidth="1"/>
    <col min="14" max="14" width="14.85546875" style="1" customWidth="1"/>
    <col min="15" max="15" width="9.140625" style="1"/>
  </cols>
  <sheetData>
    <row r="1" spans="1:15" s="19" customFormat="1" ht="18" x14ac:dyDescent="0.25">
      <c r="A1" s="21" t="s">
        <v>75</v>
      </c>
      <c r="B1" s="21"/>
      <c r="C1" s="21"/>
      <c r="D1" s="21"/>
      <c r="E1" s="21"/>
      <c r="F1" s="21"/>
      <c r="G1" s="21"/>
      <c r="H1" s="21"/>
      <c r="I1" s="21"/>
      <c r="J1" s="21"/>
      <c r="K1" s="21"/>
      <c r="M1" s="20"/>
      <c r="N1" s="20"/>
      <c r="O1" s="20"/>
    </row>
    <row r="2" spans="1:15" s="19" customFormat="1" ht="18" x14ac:dyDescent="0.25">
      <c r="A2" s="21" t="s">
        <v>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M2" s="20"/>
      <c r="N2" s="20"/>
      <c r="O2" s="20"/>
    </row>
    <row r="3" spans="1:15" s="2" customFormat="1" ht="15.75" x14ac:dyDescent="0.25">
      <c r="J3" s="18" t="s">
        <v>73</v>
      </c>
      <c r="K3" s="18" t="s">
        <v>72</v>
      </c>
      <c r="M3" s="3"/>
      <c r="N3" s="3"/>
      <c r="O3" s="3"/>
    </row>
    <row r="4" spans="1:15" s="2" customFormat="1" ht="15.75" x14ac:dyDescent="0.25">
      <c r="A4" s="4" t="s">
        <v>71</v>
      </c>
      <c r="B4" s="8" t="s">
        <v>70</v>
      </c>
      <c r="C4" s="8"/>
      <c r="D4" s="8"/>
      <c r="E4" s="8"/>
      <c r="F4" s="8"/>
      <c r="G4" s="8"/>
      <c r="H4" s="8"/>
      <c r="J4" s="7">
        <f>SUM(J5:J8)</f>
        <v>330647.40000000002</v>
      </c>
      <c r="K4" s="7">
        <f>SUM(K5:K8)</f>
        <v>317808.51</v>
      </c>
      <c r="M4" s="3"/>
      <c r="N4" s="3"/>
      <c r="O4" s="3"/>
    </row>
    <row r="5" spans="1:15" s="2" customFormat="1" ht="15" x14ac:dyDescent="0.2">
      <c r="B5" s="2" t="s">
        <v>69</v>
      </c>
      <c r="C5" s="12" t="s">
        <v>68</v>
      </c>
      <c r="D5" s="12"/>
      <c r="E5" s="12"/>
      <c r="F5" s="12"/>
      <c r="J5" s="10">
        <f>19725*12</f>
        <v>236700</v>
      </c>
      <c r="K5" s="10">
        <f>50726.18+62075.53+46428.98+58583.74</f>
        <v>217814.43</v>
      </c>
      <c r="M5" s="3"/>
      <c r="N5" s="3"/>
      <c r="O5" s="3"/>
    </row>
    <row r="6" spans="1:15" s="2" customFormat="1" ht="15" x14ac:dyDescent="0.2">
      <c r="B6" s="2" t="s">
        <v>67</v>
      </c>
      <c r="C6" s="15" t="s">
        <v>66</v>
      </c>
      <c r="D6" s="15"/>
      <c r="E6" s="15"/>
      <c r="F6" s="15"/>
      <c r="J6" s="17">
        <f>ROUND(J5*30.2/100,2)</f>
        <v>71483.399999999994</v>
      </c>
      <c r="K6" s="17">
        <f>ROUND(K5*30.2/100,2)</f>
        <v>65779.960000000006</v>
      </c>
      <c r="M6" s="16"/>
    </row>
    <row r="7" spans="1:15" s="2" customFormat="1" ht="15" x14ac:dyDescent="0.2">
      <c r="B7" s="2" t="s">
        <v>65</v>
      </c>
      <c r="C7" s="15" t="s">
        <v>64</v>
      </c>
      <c r="D7" s="15"/>
      <c r="E7" s="15"/>
      <c r="J7" s="10">
        <f>851*12</f>
        <v>10212</v>
      </c>
      <c r="K7" s="10">
        <f>3306.7+3097.7+777.32+5406.08</f>
        <v>12587.8</v>
      </c>
      <c r="M7" s="3"/>
      <c r="N7" s="3"/>
      <c r="O7" s="3"/>
    </row>
    <row r="8" spans="1:15" s="2" customFormat="1" ht="15" x14ac:dyDescent="0.2">
      <c r="B8" s="2" t="s">
        <v>63</v>
      </c>
      <c r="C8" s="2" t="s">
        <v>62</v>
      </c>
      <c r="J8" s="10">
        <f>1021*12</f>
        <v>12252</v>
      </c>
      <c r="K8" s="10">
        <f>1951.13+4805.68+8709.04+6160.47</f>
        <v>21626.320000000003</v>
      </c>
      <c r="M8" s="3"/>
      <c r="N8" s="3"/>
      <c r="O8" s="3"/>
    </row>
    <row r="9" spans="1:15" s="2" customFormat="1" ht="15" x14ac:dyDescent="0.2">
      <c r="J9" s="10"/>
      <c r="K9" s="10"/>
      <c r="M9" s="3"/>
      <c r="N9" s="3"/>
      <c r="O9" s="3"/>
    </row>
    <row r="10" spans="1:15" s="2" customFormat="1" ht="15.75" x14ac:dyDescent="0.25">
      <c r="A10" s="4" t="s">
        <v>61</v>
      </c>
      <c r="B10" s="8" t="s">
        <v>60</v>
      </c>
      <c r="C10" s="8"/>
      <c r="D10" s="8"/>
      <c r="E10" s="8"/>
      <c r="F10" s="8"/>
      <c r="J10" s="7">
        <f>SUM(J11:J16)</f>
        <v>101568</v>
      </c>
      <c r="K10" s="7">
        <f>SUM(K11:K16)</f>
        <v>100112.76</v>
      </c>
      <c r="M10" s="3"/>
      <c r="N10" s="3"/>
      <c r="O10" s="3"/>
    </row>
    <row r="11" spans="1:15" s="2" customFormat="1" ht="15" x14ac:dyDescent="0.2">
      <c r="B11" s="2" t="s">
        <v>59</v>
      </c>
      <c r="C11" s="15" t="s">
        <v>58</v>
      </c>
      <c r="D11" s="15"/>
      <c r="E11" s="15"/>
      <c r="F11" s="15"/>
      <c r="J11" s="10">
        <f>310*12</f>
        <v>3720</v>
      </c>
      <c r="K11" s="10">
        <f>931.41+969.09+969.09+969.09</f>
        <v>3838.6800000000003</v>
      </c>
      <c r="M11" s="3"/>
      <c r="N11" s="3"/>
      <c r="O11" s="3"/>
    </row>
    <row r="12" spans="1:15" s="2" customFormat="1" ht="15" x14ac:dyDescent="0.2">
      <c r="B12" s="2" t="s">
        <v>57</v>
      </c>
      <c r="C12" s="15" t="s">
        <v>56</v>
      </c>
      <c r="D12" s="15"/>
      <c r="E12" s="15"/>
      <c r="F12" s="15"/>
      <c r="G12" s="15"/>
      <c r="H12" s="15"/>
      <c r="J12" s="10">
        <f>4128*12</f>
        <v>49536</v>
      </c>
      <c r="K12" s="10">
        <f>11470.77+13963.34+12592.07+12202.7</f>
        <v>50228.880000000005</v>
      </c>
      <c r="M12" s="3"/>
      <c r="N12" s="3"/>
      <c r="O12" s="3"/>
    </row>
    <row r="13" spans="1:15" s="2" customFormat="1" ht="15" x14ac:dyDescent="0.2">
      <c r="B13" s="2" t="s">
        <v>55</v>
      </c>
      <c r="C13" s="15" t="s">
        <v>54</v>
      </c>
      <c r="D13" s="15"/>
      <c r="E13" s="15"/>
      <c r="F13" s="15"/>
      <c r="J13" s="10">
        <f>3728*12</f>
        <v>44736</v>
      </c>
      <c r="K13" s="10">
        <f>41820+3230</f>
        <v>45050</v>
      </c>
      <c r="M13" s="3"/>
      <c r="N13" s="3"/>
      <c r="O13" s="3"/>
    </row>
    <row r="14" spans="1:15" s="2" customFormat="1" ht="15" x14ac:dyDescent="0.2">
      <c r="B14" s="2" t="s">
        <v>53</v>
      </c>
      <c r="C14" s="14" t="s">
        <v>52</v>
      </c>
      <c r="D14" s="14"/>
      <c r="E14" s="14"/>
      <c r="F14" s="14"/>
      <c r="J14" s="10">
        <f>251*12</f>
        <v>3012</v>
      </c>
      <c r="K14" s="10">
        <f>0</f>
        <v>0</v>
      </c>
    </row>
    <row r="15" spans="1:15" s="2" customFormat="1" ht="15" x14ac:dyDescent="0.2">
      <c r="B15" s="2" t="s">
        <v>51</v>
      </c>
      <c r="C15" s="14" t="s">
        <v>50</v>
      </c>
      <c r="D15" s="14"/>
      <c r="E15" s="14"/>
      <c r="F15" s="14"/>
      <c r="J15" s="10">
        <v>0</v>
      </c>
      <c r="K15" s="10">
        <v>0</v>
      </c>
      <c r="M15" s="3"/>
      <c r="N15" s="3"/>
      <c r="O15" s="3"/>
    </row>
    <row r="16" spans="1:15" s="2" customFormat="1" ht="15" x14ac:dyDescent="0.2">
      <c r="B16" s="2" t="s">
        <v>49</v>
      </c>
      <c r="C16" s="14" t="s">
        <v>48</v>
      </c>
      <c r="D16" s="14"/>
      <c r="E16" s="14"/>
      <c r="F16" s="14"/>
      <c r="J16" s="10">
        <f>47*12</f>
        <v>564</v>
      </c>
      <c r="K16" s="10">
        <f>6.22*160</f>
        <v>995.19999999999993</v>
      </c>
    </row>
    <row r="17" spans="1:15" s="2" customFormat="1" ht="15.75" x14ac:dyDescent="0.25">
      <c r="A17" s="4" t="s">
        <v>47</v>
      </c>
      <c r="B17" s="8" t="s">
        <v>46</v>
      </c>
      <c r="C17" s="8"/>
      <c r="D17" s="8"/>
      <c r="E17" s="8"/>
      <c r="F17" s="8"/>
      <c r="G17" s="8"/>
      <c r="H17" s="8"/>
      <c r="J17" s="7">
        <f>SUM(J18:J21)</f>
        <v>258780</v>
      </c>
      <c r="K17" s="7">
        <f>SUM(K18:K21)</f>
        <v>258180</v>
      </c>
      <c r="M17" s="3"/>
      <c r="N17" s="3"/>
      <c r="O17" s="3"/>
    </row>
    <row r="18" spans="1:15" s="2" customFormat="1" ht="15" x14ac:dyDescent="0.2">
      <c r="B18" s="14" t="s">
        <v>45</v>
      </c>
      <c r="C18" s="15" t="s">
        <v>44</v>
      </c>
      <c r="D18" s="15"/>
      <c r="E18" s="15"/>
      <c r="F18" s="15"/>
      <c r="G18" s="15"/>
      <c r="J18" s="10">
        <f>20036*12</f>
        <v>240432</v>
      </c>
      <c r="K18" s="10">
        <f>60108+60108+60108+60108</f>
        <v>240432</v>
      </c>
      <c r="M18" s="3"/>
      <c r="N18" s="3"/>
      <c r="O18" s="3"/>
    </row>
    <row r="19" spans="1:15" s="2" customFormat="1" ht="15" x14ac:dyDescent="0.2">
      <c r="B19" s="14" t="s">
        <v>43</v>
      </c>
      <c r="C19" s="15" t="s">
        <v>42</v>
      </c>
      <c r="D19" s="15"/>
      <c r="E19" s="15"/>
      <c r="F19" s="15"/>
      <c r="G19" s="15"/>
      <c r="H19" s="12"/>
      <c r="J19" s="10">
        <f>1479*12</f>
        <v>17748</v>
      </c>
      <c r="K19" s="10">
        <f>0+0+0+17748</f>
        <v>17748</v>
      </c>
      <c r="M19" s="3"/>
      <c r="N19" s="3"/>
      <c r="O19" s="3"/>
    </row>
    <row r="20" spans="1:15" s="2" customFormat="1" ht="15" x14ac:dyDescent="0.2">
      <c r="B20" s="2" t="s">
        <v>41</v>
      </c>
      <c r="C20" s="2" t="s">
        <v>40</v>
      </c>
      <c r="J20" s="10">
        <f>50*12</f>
        <v>600</v>
      </c>
      <c r="K20" s="10">
        <f>0+0</f>
        <v>0</v>
      </c>
      <c r="M20" s="3"/>
      <c r="N20" s="3"/>
      <c r="O20" s="3"/>
    </row>
    <row r="21" spans="1:15" s="2" customFormat="1" ht="15" x14ac:dyDescent="0.2">
      <c r="B21" s="2" t="s">
        <v>39</v>
      </c>
      <c r="C21" s="2" t="s">
        <v>38</v>
      </c>
      <c r="J21" s="10">
        <v>0</v>
      </c>
      <c r="K21" s="10">
        <v>0</v>
      </c>
      <c r="M21" s="3"/>
      <c r="N21" s="3"/>
      <c r="O21" s="3"/>
    </row>
    <row r="22" spans="1:15" s="2" customFormat="1" ht="15.75" x14ac:dyDescent="0.25">
      <c r="A22" s="4" t="s">
        <v>37</v>
      </c>
      <c r="B22" s="13" t="s">
        <v>36</v>
      </c>
      <c r="C22" s="13"/>
      <c r="D22" s="13"/>
      <c r="J22" s="7">
        <f>34540*12</f>
        <v>414480</v>
      </c>
      <c r="K22" s="7">
        <f>SUM(K23:K27)</f>
        <v>469324.10000000003</v>
      </c>
      <c r="M22" s="3"/>
      <c r="N22" s="3"/>
      <c r="O22" s="3"/>
    </row>
    <row r="23" spans="1:15" s="2" customFormat="1" ht="15" x14ac:dyDescent="0.2">
      <c r="B23" s="2" t="s">
        <v>35</v>
      </c>
      <c r="C23" s="12" t="s">
        <v>34</v>
      </c>
      <c r="D23" s="12"/>
      <c r="J23" s="10"/>
      <c r="K23" s="10">
        <f>25110.82+23639.38+77314.25+180504.24</f>
        <v>306568.69</v>
      </c>
      <c r="M23" s="3"/>
      <c r="N23" s="3"/>
      <c r="O23" s="3"/>
    </row>
    <row r="24" spans="1:15" s="2" customFormat="1" ht="15" x14ac:dyDescent="0.2">
      <c r="B24" s="2" t="s">
        <v>33</v>
      </c>
      <c r="C24" s="15" t="s">
        <v>32</v>
      </c>
      <c r="D24" s="15"/>
      <c r="E24" s="15"/>
      <c r="F24" s="15"/>
      <c r="G24" s="15"/>
      <c r="J24" s="10"/>
      <c r="K24" s="10">
        <f>42000.08+21961.05+24920.26+26686.93</f>
        <v>115568.32000000001</v>
      </c>
      <c r="M24" s="3"/>
      <c r="N24" s="3"/>
      <c r="O24" s="3"/>
    </row>
    <row r="25" spans="1:15" s="2" customFormat="1" ht="15" x14ac:dyDescent="0.2">
      <c r="B25" s="2" t="s">
        <v>31</v>
      </c>
      <c r="C25" s="15" t="s">
        <v>30</v>
      </c>
      <c r="D25" s="15"/>
      <c r="E25" s="15"/>
      <c r="F25" s="15"/>
      <c r="G25" s="12"/>
      <c r="H25" s="12"/>
      <c r="J25" s="10"/>
      <c r="K25" s="10">
        <f>8585.08+14815.69+12821.06+10965.26</f>
        <v>47187.090000000004</v>
      </c>
      <c r="M25" s="3"/>
      <c r="N25" s="3"/>
      <c r="O25" s="3"/>
    </row>
    <row r="26" spans="1:15" s="2" customFormat="1" ht="15" x14ac:dyDescent="0.2">
      <c r="B26" s="2" t="s">
        <v>29</v>
      </c>
      <c r="C26" s="14" t="s">
        <v>28</v>
      </c>
      <c r="D26" s="14"/>
      <c r="E26" s="14"/>
      <c r="F26" s="14"/>
      <c r="G26" s="12"/>
      <c r="H26" s="12"/>
      <c r="J26" s="10"/>
      <c r="K26" s="10"/>
      <c r="M26" s="3"/>
      <c r="N26" s="3"/>
      <c r="O26" s="3"/>
    </row>
    <row r="27" spans="1:15" s="2" customFormat="1" ht="15" x14ac:dyDescent="0.2">
      <c r="B27" s="2" t="s">
        <v>27</v>
      </c>
      <c r="C27" s="14"/>
      <c r="D27" s="14"/>
      <c r="E27" s="14"/>
      <c r="F27" s="14"/>
      <c r="G27" s="12"/>
      <c r="H27" s="12"/>
      <c r="J27" s="10"/>
      <c r="K27" s="10"/>
    </row>
    <row r="28" spans="1:15" s="2" customFormat="1" ht="15.75" x14ac:dyDescent="0.25">
      <c r="B28" s="2" t="s">
        <v>26</v>
      </c>
      <c r="C28" s="14"/>
      <c r="D28" s="14"/>
      <c r="E28" s="14"/>
      <c r="F28" s="14"/>
      <c r="G28" s="12"/>
      <c r="H28" s="12"/>
      <c r="J28" s="7"/>
      <c r="K28" s="7"/>
      <c r="M28" s="3"/>
      <c r="N28" s="3"/>
      <c r="O28" s="3"/>
    </row>
    <row r="29" spans="1:15" s="2" customFormat="1" ht="15.75" x14ac:dyDescent="0.25">
      <c r="A29" s="4" t="s">
        <v>25</v>
      </c>
      <c r="B29" s="13" t="s">
        <v>24</v>
      </c>
      <c r="C29" s="13"/>
      <c r="D29" s="13"/>
      <c r="J29" s="7"/>
      <c r="K29" s="7"/>
      <c r="M29" s="3"/>
      <c r="N29" s="3"/>
      <c r="O29" s="3"/>
    </row>
    <row r="30" spans="1:15" s="2" customFormat="1" ht="15.75" x14ac:dyDescent="0.25">
      <c r="A30" s="4"/>
      <c r="B30" s="12" t="s">
        <v>23</v>
      </c>
      <c r="C30" s="12" t="s">
        <v>22</v>
      </c>
      <c r="D30" s="12"/>
      <c r="J30" s="7"/>
      <c r="K30" s="7"/>
      <c r="M30" s="3"/>
      <c r="N30" s="3"/>
      <c r="O30" s="3"/>
    </row>
    <row r="31" spans="1:15" s="2" customFormat="1" ht="15.75" x14ac:dyDescent="0.25">
      <c r="A31" s="4"/>
      <c r="B31" s="12" t="s">
        <v>21</v>
      </c>
      <c r="C31" s="12" t="s">
        <v>20</v>
      </c>
      <c r="D31" s="12"/>
      <c r="J31" s="10"/>
      <c r="K31" s="10"/>
      <c r="M31" s="3"/>
      <c r="N31" s="3"/>
      <c r="O31" s="3"/>
    </row>
    <row r="32" spans="1:15" s="2" customFormat="1" ht="15.75" x14ac:dyDescent="0.25">
      <c r="A32" s="4"/>
      <c r="B32" s="12"/>
      <c r="C32" s="12"/>
      <c r="D32" s="12"/>
      <c r="J32" s="7"/>
      <c r="K32" s="7"/>
      <c r="M32" s="3"/>
      <c r="N32" s="3"/>
      <c r="O32" s="3"/>
    </row>
    <row r="33" spans="1:15" s="2" customFormat="1" ht="15.75" x14ac:dyDescent="0.25">
      <c r="A33" s="4" t="s">
        <v>19</v>
      </c>
      <c r="B33" s="8" t="s">
        <v>18</v>
      </c>
      <c r="C33" s="8"/>
      <c r="D33" s="8"/>
      <c r="E33" s="8"/>
      <c r="J33" s="7">
        <f>27560*12</f>
        <v>330720</v>
      </c>
      <c r="K33" s="7">
        <f>K34+122310.06+35982.57</f>
        <v>331332.63</v>
      </c>
      <c r="M33" s="3"/>
      <c r="N33" s="3"/>
      <c r="O33" s="3"/>
    </row>
    <row r="34" spans="1:15" s="2" customFormat="1" ht="15" x14ac:dyDescent="0.2">
      <c r="J34" s="10">
        <f>13020*12</f>
        <v>156240</v>
      </c>
      <c r="K34" s="10">
        <f>134040+39000</f>
        <v>173040</v>
      </c>
      <c r="M34" s="3"/>
      <c r="N34" s="3"/>
      <c r="O34" s="3"/>
    </row>
    <row r="35" spans="1:15" s="2" customFormat="1" ht="15.75" x14ac:dyDescent="0.25">
      <c r="A35" s="4" t="s">
        <v>17</v>
      </c>
      <c r="B35" s="8" t="s">
        <v>16</v>
      </c>
      <c r="C35" s="8"/>
      <c r="D35" s="8"/>
      <c r="E35" s="8"/>
      <c r="F35" s="8"/>
      <c r="J35" s="7">
        <f>26360*12</f>
        <v>316320</v>
      </c>
      <c r="K35" s="11">
        <f>236926.76+78022.43</f>
        <v>314949.19</v>
      </c>
      <c r="M35" s="3"/>
      <c r="N35" s="3"/>
      <c r="O35" s="3"/>
    </row>
    <row r="36" spans="1:15" s="2" customFormat="1" ht="15" x14ac:dyDescent="0.2">
      <c r="J36" s="10"/>
      <c r="K36" s="10"/>
      <c r="M36" s="3"/>
      <c r="N36" s="3"/>
      <c r="O36" s="3"/>
    </row>
    <row r="37" spans="1:15" s="2" customFormat="1" ht="15.75" x14ac:dyDescent="0.25">
      <c r="A37" s="4" t="s">
        <v>15</v>
      </c>
      <c r="B37" s="4" t="s">
        <v>14</v>
      </c>
      <c r="J37" s="7">
        <f>2590*12</f>
        <v>31080</v>
      </c>
      <c r="K37" s="7">
        <f>29385.55</f>
        <v>29385.55</v>
      </c>
      <c r="M37" s="3"/>
      <c r="N37" s="3"/>
      <c r="O37" s="3"/>
    </row>
    <row r="38" spans="1:15" s="4" customFormat="1" ht="15.75" x14ac:dyDescent="0.25">
      <c r="C38" s="2"/>
      <c r="D38" s="2"/>
      <c r="E38" s="2"/>
      <c r="F38" s="2"/>
      <c r="G38" s="2"/>
      <c r="H38" s="2"/>
      <c r="J38" s="7"/>
      <c r="K38" s="7"/>
      <c r="M38" s="6"/>
      <c r="N38" s="6"/>
      <c r="O38" s="6"/>
    </row>
    <row r="39" spans="1:15" s="2" customFormat="1" ht="15.75" x14ac:dyDescent="0.25">
      <c r="B39" s="4" t="s">
        <v>13</v>
      </c>
      <c r="J39" s="7">
        <f>J4+J10+J17+J22+J28+J33+J35+J37</f>
        <v>1783595.4</v>
      </c>
      <c r="K39" s="7">
        <f>K4+K10+K17+K22+K29+K33+K35+K37</f>
        <v>1821092.74</v>
      </c>
      <c r="M39" s="3"/>
      <c r="N39" s="3"/>
      <c r="O39" s="3"/>
    </row>
    <row r="40" spans="1:15" s="2" customFormat="1" ht="15.75" x14ac:dyDescent="0.25">
      <c r="B40" s="4" t="s">
        <v>12</v>
      </c>
      <c r="J40" s="10">
        <f>ROUND(J39*7/100,2)</f>
        <v>124851.68</v>
      </c>
      <c r="K40" s="10">
        <f>ROUND(K39*7/100,2)</f>
        <v>127476.49</v>
      </c>
      <c r="M40" s="3"/>
      <c r="N40" s="3"/>
      <c r="O40" s="3"/>
    </row>
    <row r="41" spans="1:15" s="2" customFormat="1" ht="15.75" x14ac:dyDescent="0.25">
      <c r="B41" s="8" t="s">
        <v>11</v>
      </c>
      <c r="C41" s="8"/>
      <c r="D41" s="8"/>
      <c r="J41" s="7">
        <f>SUM(J39:J40)</f>
        <v>1908447.0799999998</v>
      </c>
      <c r="K41" s="7">
        <f>SUM(K39:K40)</f>
        <v>1948569.23</v>
      </c>
      <c r="M41" s="3"/>
      <c r="N41" s="3"/>
      <c r="O41" s="3"/>
    </row>
    <row r="42" spans="1:15" s="2" customFormat="1" ht="15.75" x14ac:dyDescent="0.25">
      <c r="B42" s="9"/>
      <c r="C42" s="9"/>
      <c r="D42" s="9"/>
      <c r="J42" s="7"/>
      <c r="K42" s="7"/>
      <c r="M42" s="3"/>
      <c r="N42" s="3"/>
      <c r="O42" s="3"/>
    </row>
    <row r="43" spans="1:15" s="2" customFormat="1" ht="15.75" x14ac:dyDescent="0.25">
      <c r="A43" s="4" t="s">
        <v>10</v>
      </c>
      <c r="B43" s="9" t="s">
        <v>9</v>
      </c>
      <c r="C43" s="9"/>
      <c r="D43" s="9"/>
      <c r="J43" s="7">
        <f>24030*12</f>
        <v>288360</v>
      </c>
      <c r="K43" s="7">
        <f>41661.09+42450.33+52989.01+46359.34</f>
        <v>183459.77</v>
      </c>
      <c r="M43" s="3"/>
      <c r="N43" s="3"/>
      <c r="O43" s="3"/>
    </row>
    <row r="44" spans="1:15" s="2" customFormat="1" ht="15.75" x14ac:dyDescent="0.25">
      <c r="A44" s="4"/>
      <c r="B44" s="9"/>
      <c r="C44" s="9"/>
      <c r="D44" s="9"/>
      <c r="J44" s="7"/>
      <c r="K44" s="7"/>
      <c r="M44" s="3"/>
      <c r="N44" s="3"/>
      <c r="O44" s="3"/>
    </row>
    <row r="45" spans="1:15" s="2" customFormat="1" ht="15.75" x14ac:dyDescent="0.25">
      <c r="A45" s="4"/>
      <c r="B45" s="9" t="s">
        <v>8</v>
      </c>
      <c r="C45" s="9"/>
      <c r="D45" s="9"/>
      <c r="J45" s="7">
        <f>J43+J41</f>
        <v>2196807.08</v>
      </c>
      <c r="K45" s="7">
        <f>K43+K41</f>
        <v>2132029</v>
      </c>
      <c r="M45" s="3"/>
      <c r="N45" s="3"/>
      <c r="O45" s="3"/>
    </row>
    <row r="46" spans="1:15" s="4" customFormat="1" ht="15.75" x14ac:dyDescent="0.25">
      <c r="A46" s="8" t="s">
        <v>7</v>
      </c>
      <c r="B46" s="8"/>
      <c r="C46" s="8"/>
      <c r="D46" s="8"/>
      <c r="J46" s="7"/>
      <c r="K46" s="7">
        <f>529762.32+535159.56+538788.45+538788.45</f>
        <v>2142498.7799999998</v>
      </c>
      <c r="M46" s="6"/>
      <c r="N46" s="6"/>
      <c r="O46" s="6"/>
    </row>
    <row r="47" spans="1:15" s="4" customFormat="1" ht="15.75" x14ac:dyDescent="0.25">
      <c r="A47" s="8" t="s">
        <v>6</v>
      </c>
      <c r="B47" s="8"/>
      <c r="C47" s="8"/>
      <c r="D47" s="8"/>
      <c r="E47" s="8"/>
      <c r="F47" s="8"/>
      <c r="J47" s="7"/>
      <c r="K47" s="7">
        <f>536037.7+521489.34+526867.03+545375.62</f>
        <v>2129769.69</v>
      </c>
      <c r="M47" s="6"/>
      <c r="N47" s="6"/>
      <c r="O47" s="6"/>
    </row>
    <row r="48" spans="1:15" s="2" customFormat="1" ht="14.25" customHeight="1" x14ac:dyDescent="0.25">
      <c r="A48" s="4" t="s">
        <v>5</v>
      </c>
      <c r="M48" s="3"/>
      <c r="N48" s="3"/>
      <c r="O48" s="3"/>
    </row>
    <row r="49" spans="1:15" s="2" customFormat="1" ht="15.75" x14ac:dyDescent="0.25">
      <c r="A49" s="4" t="s">
        <v>4</v>
      </c>
      <c r="K49" s="5">
        <f>K47+K48-K45</f>
        <v>-2259.3100000000559</v>
      </c>
      <c r="M49" s="3"/>
      <c r="N49" s="3"/>
      <c r="O49" s="3"/>
    </row>
    <row r="50" spans="1:15" s="2" customFormat="1" ht="15.75" x14ac:dyDescent="0.25">
      <c r="A50" s="4"/>
      <c r="M50" s="3"/>
      <c r="N50" s="3"/>
      <c r="O50" s="3"/>
    </row>
    <row r="51" spans="1:15" s="2" customFormat="1" ht="15" x14ac:dyDescent="0.2">
      <c r="C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C53" s="2" t="s">
        <v>1</v>
      </c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</sheetData>
  <mergeCells count="19">
    <mergeCell ref="A1:K1"/>
    <mergeCell ref="A2:K2"/>
    <mergeCell ref="B4:H4"/>
    <mergeCell ref="C6:F6"/>
    <mergeCell ref="A46:D46"/>
    <mergeCell ref="B33:E33"/>
    <mergeCell ref="B35:F35"/>
    <mergeCell ref="B41:D41"/>
    <mergeCell ref="B10:F10"/>
    <mergeCell ref="C18:G18"/>
    <mergeCell ref="C7:E7"/>
    <mergeCell ref="C13:F13"/>
    <mergeCell ref="C19:G19"/>
    <mergeCell ref="C25:F25"/>
    <mergeCell ref="A47:F47"/>
    <mergeCell ref="C11:F11"/>
    <mergeCell ref="C24:G24"/>
    <mergeCell ref="B17:H17"/>
    <mergeCell ref="C12:H12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2022-03-29T12:34:21Z</dcterms:created>
  <dcterms:modified xsi:type="dcterms:W3CDTF">2022-03-29T12:34:35Z</dcterms:modified>
</cp:coreProperties>
</file>