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Отчет о выполненных работах\"/>
    </mc:Choice>
  </mc:AlternateContent>
  <bookViews>
    <workbookView xWindow="0" yWindow="0" windowWidth="28800" windowHeight="12435"/>
  </bookViews>
  <sheets>
    <sheet name="58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7" i="1"/>
  <c r="K7" i="1"/>
  <c r="J8" i="1"/>
  <c r="K8" i="1"/>
  <c r="K10" i="1"/>
  <c r="J11" i="1"/>
  <c r="K11" i="1"/>
  <c r="J12" i="1"/>
  <c r="J10" i="1" s="1"/>
  <c r="K12" i="1"/>
  <c r="J13" i="1"/>
  <c r="K13" i="1"/>
  <c r="J14" i="1"/>
  <c r="J16" i="1"/>
  <c r="K16" i="1"/>
  <c r="J17" i="1"/>
  <c r="K17" i="1"/>
  <c r="J22" i="1"/>
  <c r="K23" i="1"/>
  <c r="K22" i="1" s="1"/>
  <c r="K24" i="1"/>
  <c r="K25" i="1"/>
  <c r="K26" i="1"/>
  <c r="J31" i="1"/>
  <c r="K31" i="1"/>
  <c r="K29" i="1" s="1"/>
  <c r="J33" i="1"/>
  <c r="K33" i="1"/>
  <c r="J35" i="1"/>
  <c r="K35" i="1"/>
  <c r="J37" i="1"/>
  <c r="K37" i="1"/>
  <c r="J43" i="1"/>
  <c r="K43" i="1"/>
  <c r="K46" i="1"/>
  <c r="K47" i="1"/>
  <c r="K48" i="1"/>
  <c r="K6" i="1" l="1"/>
  <c r="K4" i="1" s="1"/>
  <c r="K39" i="1" s="1"/>
  <c r="J6" i="1"/>
  <c r="J4" i="1" s="1"/>
  <c r="J39" i="1" s="1"/>
  <c r="J40" i="1" l="1"/>
  <c r="J41" i="1" s="1"/>
  <c r="J45" i="1" s="1"/>
  <c r="K40" i="1"/>
  <c r="K41" i="1" s="1"/>
  <c r="K45" i="1" s="1"/>
  <c r="K49" i="1" s="1"/>
</calcChain>
</file>

<file path=xl/sharedStrings.xml><?xml version="1.0" encoding="utf-8"?>
<sst xmlns="http://schemas.openxmlformats.org/spreadsheetml/2006/main" count="74" uniqueCount="74">
  <si>
    <t>Кузина В.А.</t>
  </si>
  <si>
    <t>Председатель совета дома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</si>
  <si>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</si>
  <si>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</si>
  <si>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</si>
  <si>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</si>
  <si>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</si>
  <si>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</si>
  <si>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</si>
  <si>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</si>
  <si>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</si>
  <si>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</si>
  <si>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</si>
  <si>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</si>
  <si>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</si>
  <si>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</si>
  <si>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</si>
  <si>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</si>
  <si>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</si>
  <si>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</si>
  <si>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Начисления на зарплату 30,2%</t>
  </si>
  <si>
    <t>5.2.</t>
  </si>
  <si>
    <t>Зарплата упол. представителя дома</t>
  </si>
  <si>
    <t>5.1.</t>
  </si>
  <si>
    <t>Затраты на упол. представителя дома</t>
  </si>
  <si>
    <t>5.</t>
  </si>
  <si>
    <t>4.6.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</si>
  <si>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</si>
  <si>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</si>
  <si>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</si>
  <si>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</si>
  <si>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</si>
  <si>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</si>
  <si>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</si>
  <si>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</si>
  <si>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</si>
  <si>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</si>
  <si>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</si>
  <si>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</si>
  <si>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</si>
  <si>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</si>
  <si>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</si>
  <si>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</si>
  <si>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</si>
  <si>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</si>
  <si>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</si>
  <si>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</si>
  <si>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</si>
  <si>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</si>
  <si>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</si>
  <si>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</si>
  <si>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</si>
  <si>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</si>
  <si>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</si>
  <si>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</si>
  <si>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</si>
  <si>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</si>
  <si>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</si>
  <si>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</si>
  <si>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</si>
  <si>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</si>
  <si>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</si>
  <si>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</si>
  <si>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</si>
  <si>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</si>
  <si>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</si>
  <si>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уборщицы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</si>
  <si>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</si>
  <si>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</si>
  <si>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</si>
  <si>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</si>
  <si>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</si>
  <si>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 xml:space="preserve"> д.58 корп. 1 по ул. Новоселов за январь-декабрь 2021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</si>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</sst>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164" fontId="1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center"/>
    </xf>
    <xf numFmtId="4" fontId="3" fillId="0" borderId="0" xfId="0" applyNumberFormat="1" applyFont="1"/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1" fillId="0" borderId="1" xfId="0" applyNumberFormat="1" applyFont="1" applyBorder="1"/>
    <xf numFmtId="0" fontId="3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1" fillId="0" borderId="0" xfId="0" applyNumberFormat="1" applyFo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tabSelected="1" topLeftCell="A21" workbookViewId="0">
      <selection activeCell="K50" sqref="K50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7109375" customWidth="1"/>
    <col min="13" max="13" width="16.140625" style="1" bestFit="1" customWidth="1"/>
    <col min="14" max="14" width="12.7109375" style="1" customWidth="1"/>
    <col min="15" max="15" width="9.140625" style="1"/>
  </cols>
  <sheetData>
    <row r="1" spans="1:15" s="20" customFormat="1" ht="18" x14ac:dyDescent="0.25">
      <c r="A1" s="22" t="s">
        <v>73</v>
      </c>
      <c r="B1" s="22"/>
      <c r="C1" s="22"/>
      <c r="D1" s="22"/>
      <c r="E1" s="22"/>
      <c r="F1" s="22"/>
      <c r="G1" s="22"/>
      <c r="H1" s="22"/>
      <c r="I1" s="22"/>
      <c r="J1" s="22"/>
      <c r="K1" s="22"/>
      <c r="M1" s="21"/>
      <c r="N1" s="21"/>
      <c r="O1" s="21"/>
    </row>
    <row r="2" spans="1:15" s="20" customFormat="1" ht="18" x14ac:dyDescent="0.25">
      <c r="A2" s="22" t="s">
        <v>72</v>
      </c>
      <c r="B2" s="22"/>
      <c r="C2" s="22"/>
      <c r="D2" s="22"/>
      <c r="E2" s="22"/>
      <c r="F2" s="22"/>
      <c r="G2" s="22"/>
      <c r="H2" s="22"/>
      <c r="I2" s="22"/>
      <c r="J2" s="22"/>
      <c r="K2" s="22"/>
      <c r="M2" s="21"/>
      <c r="N2" s="21"/>
      <c r="O2" s="21"/>
    </row>
    <row r="3" spans="1:15" s="2" customFormat="1" ht="15.75" x14ac:dyDescent="0.25">
      <c r="J3" s="19" t="s">
        <v>71</v>
      </c>
      <c r="K3" s="19" t="s">
        <v>70</v>
      </c>
      <c r="M3" s="3"/>
      <c r="N3" s="3"/>
      <c r="O3" s="3"/>
    </row>
    <row r="4" spans="1:15" s="2" customFormat="1" ht="15.75" x14ac:dyDescent="0.25">
      <c r="A4" s="6" t="s">
        <v>69</v>
      </c>
      <c r="B4" s="10" t="s">
        <v>68</v>
      </c>
      <c r="C4" s="10"/>
      <c r="D4" s="10"/>
      <c r="E4" s="10"/>
      <c r="F4" s="10"/>
      <c r="G4" s="10"/>
      <c r="H4" s="10"/>
      <c r="J4" s="9">
        <f>SUM(J5:J8)</f>
        <v>190057.94</v>
      </c>
      <c r="K4" s="9">
        <f>SUM(K5:K8)</f>
        <v>220552.89</v>
      </c>
      <c r="M4" s="3"/>
      <c r="N4" s="3"/>
      <c r="O4" s="3"/>
    </row>
    <row r="5" spans="1:15" s="2" customFormat="1" ht="15" x14ac:dyDescent="0.2">
      <c r="B5" s="2" t="s">
        <v>67</v>
      </c>
      <c r="C5" s="14" t="s">
        <v>66</v>
      </c>
      <c r="D5" s="14"/>
      <c r="E5" s="14"/>
      <c r="F5" s="14"/>
      <c r="J5" s="12">
        <f>11431*12</f>
        <v>137172</v>
      </c>
      <c r="K5" s="12">
        <f>39840.82+29257.98+31190.08+56888.95</f>
        <v>157177.83000000002</v>
      </c>
      <c r="M5" s="3"/>
      <c r="N5" s="3"/>
      <c r="O5" s="3"/>
    </row>
    <row r="6" spans="1:15" s="2" customFormat="1" ht="15" x14ac:dyDescent="0.2">
      <c r="B6" s="2" t="s">
        <v>65</v>
      </c>
      <c r="C6" s="16" t="s">
        <v>64</v>
      </c>
      <c r="D6" s="16"/>
      <c r="E6" s="16"/>
      <c r="F6" s="16"/>
      <c r="J6" s="18">
        <f>ROUND(J5*30.2/100,2)</f>
        <v>41425.94</v>
      </c>
      <c r="K6" s="18">
        <f>ROUND(K5*30.2/100,2)</f>
        <v>47467.7</v>
      </c>
      <c r="M6" s="17"/>
    </row>
    <row r="7" spans="1:15" s="2" customFormat="1" ht="15" x14ac:dyDescent="0.2">
      <c r="B7" s="2" t="s">
        <v>63</v>
      </c>
      <c r="C7" s="16" t="s">
        <v>62</v>
      </c>
      <c r="D7" s="16"/>
      <c r="E7" s="16"/>
      <c r="J7" s="12">
        <f>434*12</f>
        <v>5208</v>
      </c>
      <c r="K7" s="12">
        <f>1051.28+648.26+0+3178.05</f>
        <v>4877.59</v>
      </c>
      <c r="M7" s="3"/>
      <c r="N7" s="3"/>
      <c r="O7" s="3"/>
    </row>
    <row r="8" spans="1:15" s="2" customFormat="1" ht="15" x14ac:dyDescent="0.2">
      <c r="B8" s="2" t="s">
        <v>61</v>
      </c>
      <c r="C8" s="2" t="s">
        <v>60</v>
      </c>
      <c r="J8" s="12">
        <f>521*12</f>
        <v>6252</v>
      </c>
      <c r="K8" s="12">
        <f>995.1+2450.98+4441.75+3141.94</f>
        <v>11029.77</v>
      </c>
      <c r="M8" s="3"/>
      <c r="N8" s="3"/>
      <c r="O8" s="3"/>
    </row>
    <row r="9" spans="1:15" s="2" customFormat="1" ht="15" x14ac:dyDescent="0.2">
      <c r="J9" s="12"/>
      <c r="K9" s="12"/>
      <c r="M9" s="3"/>
      <c r="N9" s="3"/>
      <c r="O9" s="3"/>
    </row>
    <row r="10" spans="1:15" s="2" customFormat="1" ht="15.75" x14ac:dyDescent="0.25">
      <c r="A10" s="6" t="s">
        <v>59</v>
      </c>
      <c r="B10" s="10" t="s">
        <v>58</v>
      </c>
      <c r="C10" s="10"/>
      <c r="D10" s="10"/>
      <c r="E10" s="10"/>
      <c r="F10" s="10"/>
      <c r="J10" s="9">
        <f>SUM(J11:J16)</f>
        <v>56628</v>
      </c>
      <c r="K10" s="9">
        <f>SUM(K11:K16)</f>
        <v>68139.41</v>
      </c>
      <c r="M10" s="3"/>
      <c r="N10" s="3"/>
      <c r="O10" s="3"/>
    </row>
    <row r="11" spans="1:15" s="2" customFormat="1" ht="15" x14ac:dyDescent="0.2">
      <c r="B11" s="2" t="s">
        <v>57</v>
      </c>
      <c r="C11" s="16" t="s">
        <v>56</v>
      </c>
      <c r="D11" s="16"/>
      <c r="E11" s="16"/>
      <c r="F11" s="16"/>
      <c r="J11" s="12">
        <f>316*12</f>
        <v>3792</v>
      </c>
      <c r="K11" s="12">
        <f>949.2+987.63+987.63+987.63</f>
        <v>3912.09</v>
      </c>
      <c r="M11" s="3"/>
      <c r="N11" s="3"/>
      <c r="O11" s="3"/>
    </row>
    <row r="12" spans="1:15" s="2" customFormat="1" ht="15" x14ac:dyDescent="0.2">
      <c r="B12" s="2" t="s">
        <v>55</v>
      </c>
      <c r="C12" s="16" t="s">
        <v>54</v>
      </c>
      <c r="D12" s="16"/>
      <c r="E12" s="16"/>
      <c r="F12" s="16"/>
      <c r="G12" s="16"/>
      <c r="H12" s="16"/>
      <c r="J12" s="12">
        <f>2105*12</f>
        <v>25260</v>
      </c>
      <c r="K12" s="12">
        <f>5850.28+7121.52+6422.15+6223.57</f>
        <v>25617.519999999997</v>
      </c>
      <c r="M12" s="3"/>
      <c r="N12" s="3"/>
      <c r="O12" s="3"/>
    </row>
    <row r="13" spans="1:15" s="2" customFormat="1" ht="15" x14ac:dyDescent="0.2">
      <c r="B13" s="2" t="s">
        <v>53</v>
      </c>
      <c r="C13" s="16" t="s">
        <v>52</v>
      </c>
      <c r="D13" s="16"/>
      <c r="E13" s="16"/>
      <c r="F13" s="16"/>
      <c r="J13" s="12">
        <f>2087*12</f>
        <v>25044</v>
      </c>
      <c r="K13" s="12">
        <f>1360+36690</f>
        <v>38050</v>
      </c>
      <c r="M13" s="3"/>
      <c r="N13" s="3"/>
      <c r="O13" s="3"/>
    </row>
    <row r="14" spans="1:15" s="2" customFormat="1" ht="15" x14ac:dyDescent="0.2">
      <c r="B14" s="2" t="s">
        <v>51</v>
      </c>
      <c r="C14" s="15" t="s">
        <v>50</v>
      </c>
      <c r="D14" s="15"/>
      <c r="E14" s="15"/>
      <c r="F14" s="15"/>
      <c r="J14" s="12">
        <f>141*12</f>
        <v>1692</v>
      </c>
      <c r="K14" s="12">
        <v>0</v>
      </c>
    </row>
    <row r="15" spans="1:15" s="2" customFormat="1" ht="15" x14ac:dyDescent="0.2">
      <c r="B15" s="2" t="s">
        <v>49</v>
      </c>
      <c r="C15" s="15" t="s">
        <v>48</v>
      </c>
      <c r="D15" s="15"/>
      <c r="E15" s="15"/>
      <c r="F15" s="15"/>
      <c r="J15" s="12"/>
      <c r="K15" s="12">
        <v>0</v>
      </c>
      <c r="M15" s="3"/>
      <c r="N15" s="3"/>
      <c r="O15" s="3"/>
    </row>
    <row r="16" spans="1:15" s="2" customFormat="1" ht="15" x14ac:dyDescent="0.2">
      <c r="B16" s="2" t="s">
        <v>47</v>
      </c>
      <c r="C16" s="15" t="s">
        <v>46</v>
      </c>
      <c r="D16" s="15"/>
      <c r="E16" s="15"/>
      <c r="F16" s="15"/>
      <c r="J16" s="12">
        <f>70*12</f>
        <v>840</v>
      </c>
      <c r="K16" s="12">
        <f>6.22*90</f>
        <v>559.79999999999995</v>
      </c>
    </row>
    <row r="17" spans="1:15" s="2" customFormat="1" ht="15.75" x14ac:dyDescent="0.25">
      <c r="A17" s="6" t="s">
        <v>45</v>
      </c>
      <c r="B17" s="10" t="s">
        <v>44</v>
      </c>
      <c r="C17" s="10"/>
      <c r="D17" s="10"/>
      <c r="E17" s="10"/>
      <c r="F17" s="10"/>
      <c r="G17" s="10"/>
      <c r="H17" s="10"/>
      <c r="J17" s="9">
        <f>SUM(J18:J20)</f>
        <v>0</v>
      </c>
      <c r="K17" s="9">
        <f>SUM(K18:K20)</f>
        <v>0</v>
      </c>
      <c r="M17" s="3"/>
      <c r="N17" s="3"/>
      <c r="O17" s="3"/>
    </row>
    <row r="18" spans="1:15" s="2" customFormat="1" ht="15" x14ac:dyDescent="0.2">
      <c r="B18" s="15" t="s">
        <v>43</v>
      </c>
      <c r="C18" s="16" t="s">
        <v>42</v>
      </c>
      <c r="D18" s="16"/>
      <c r="E18" s="16"/>
      <c r="F18" s="16"/>
      <c r="G18" s="16"/>
      <c r="J18" s="12">
        <v>0</v>
      </c>
      <c r="K18" s="12">
        <v>0</v>
      </c>
      <c r="M18" s="3"/>
      <c r="N18" s="3"/>
      <c r="O18" s="3"/>
    </row>
    <row r="19" spans="1:15" s="2" customFormat="1" ht="15" x14ac:dyDescent="0.2">
      <c r="B19" s="15" t="s">
        <v>41</v>
      </c>
      <c r="C19" s="16" t="s">
        <v>40</v>
      </c>
      <c r="D19" s="16"/>
      <c r="E19" s="16"/>
      <c r="F19" s="16"/>
      <c r="G19" s="16"/>
      <c r="H19" s="14"/>
      <c r="J19" s="12">
        <v>0</v>
      </c>
      <c r="K19" s="12">
        <v>0</v>
      </c>
      <c r="M19" s="3"/>
      <c r="N19" s="3"/>
      <c r="O19" s="3"/>
    </row>
    <row r="20" spans="1:15" s="2" customFormat="1" ht="15" x14ac:dyDescent="0.2">
      <c r="B20" s="2" t="s">
        <v>39</v>
      </c>
      <c r="C20" s="2" t="s">
        <v>38</v>
      </c>
      <c r="J20" s="12">
        <v>0</v>
      </c>
      <c r="K20" s="12">
        <v>0</v>
      </c>
      <c r="M20" s="3"/>
      <c r="N20" s="3"/>
      <c r="O20" s="3"/>
    </row>
    <row r="21" spans="1:15" s="2" customFormat="1" ht="15" x14ac:dyDescent="0.2">
      <c r="J21" s="12"/>
      <c r="K21" s="12"/>
      <c r="M21" s="3"/>
      <c r="N21" s="3"/>
      <c r="O21" s="3"/>
    </row>
    <row r="22" spans="1:15" s="2" customFormat="1" ht="15.75" x14ac:dyDescent="0.25">
      <c r="A22" s="6" t="s">
        <v>37</v>
      </c>
      <c r="B22" s="13" t="s">
        <v>36</v>
      </c>
      <c r="C22" s="13"/>
      <c r="D22" s="13"/>
      <c r="J22" s="9">
        <f>26040*12</f>
        <v>312480</v>
      </c>
      <c r="K22" s="9">
        <f>SUM(K23:K27)</f>
        <v>222854.68</v>
      </c>
      <c r="M22" s="3"/>
      <c r="N22" s="3"/>
      <c r="O22" s="3"/>
    </row>
    <row r="23" spans="1:15" s="2" customFormat="1" ht="15" x14ac:dyDescent="0.2">
      <c r="B23" s="2" t="s">
        <v>35</v>
      </c>
      <c r="C23" s="14" t="s">
        <v>34</v>
      </c>
      <c r="D23" s="14"/>
      <c r="J23" s="12"/>
      <c r="K23" s="12">
        <f>35026.96+13867.94+66525.83+11726.91</f>
        <v>127147.64000000001</v>
      </c>
      <c r="M23" s="3"/>
      <c r="N23" s="3"/>
      <c r="O23" s="3"/>
    </row>
    <row r="24" spans="1:15" s="2" customFormat="1" ht="15" x14ac:dyDescent="0.2">
      <c r="B24" s="2" t="s">
        <v>33</v>
      </c>
      <c r="C24" s="16" t="s">
        <v>32</v>
      </c>
      <c r="D24" s="16"/>
      <c r="E24" s="16"/>
      <c r="F24" s="16"/>
      <c r="G24" s="16"/>
      <c r="J24" s="12"/>
      <c r="K24" s="12">
        <f>23459.65+12571.03+13211.07+15490.11</f>
        <v>64731.86</v>
      </c>
      <c r="M24" s="3"/>
      <c r="N24" s="3"/>
      <c r="O24" s="3"/>
    </row>
    <row r="25" spans="1:15" s="2" customFormat="1" ht="15" x14ac:dyDescent="0.2">
      <c r="B25" s="2" t="s">
        <v>31</v>
      </c>
      <c r="C25" s="16" t="s">
        <v>30</v>
      </c>
      <c r="D25" s="16"/>
      <c r="E25" s="16"/>
      <c r="F25" s="16"/>
      <c r="G25" s="14"/>
      <c r="H25" s="14"/>
      <c r="J25" s="12"/>
      <c r="K25" s="12">
        <f>4378.53+7556.24+6538.95+5592.46</f>
        <v>24066.18</v>
      </c>
      <c r="M25" s="3"/>
      <c r="N25" s="3"/>
      <c r="O25" s="3"/>
    </row>
    <row r="26" spans="1:15" s="2" customFormat="1" ht="15" x14ac:dyDescent="0.2">
      <c r="B26" s="2" t="s">
        <v>29</v>
      </c>
      <c r="C26" s="15" t="s">
        <v>28</v>
      </c>
      <c r="D26" s="15"/>
      <c r="E26" s="15"/>
      <c r="F26" s="15"/>
      <c r="G26" s="14"/>
      <c r="H26" s="14"/>
      <c r="J26" s="12"/>
      <c r="K26" s="12">
        <f>29.4*235</f>
        <v>6909</v>
      </c>
      <c r="M26" s="3"/>
      <c r="N26" s="3"/>
      <c r="O26" s="3"/>
    </row>
    <row r="27" spans="1:15" s="2" customFormat="1" ht="15" x14ac:dyDescent="0.2">
      <c r="B27" s="2" t="s">
        <v>27</v>
      </c>
      <c r="C27" s="15"/>
      <c r="D27" s="15"/>
      <c r="E27" s="15"/>
      <c r="F27" s="15"/>
      <c r="G27" s="14"/>
      <c r="H27" s="14"/>
      <c r="J27" s="12"/>
      <c r="K27" s="12"/>
    </row>
    <row r="28" spans="1:15" s="2" customFormat="1" ht="15" x14ac:dyDescent="0.2">
      <c r="B28" s="2" t="s">
        <v>26</v>
      </c>
      <c r="C28" s="15"/>
      <c r="D28" s="15"/>
      <c r="E28" s="15"/>
      <c r="F28" s="15"/>
      <c r="G28" s="14"/>
      <c r="H28" s="14"/>
      <c r="J28" s="12"/>
      <c r="K28" s="12"/>
    </row>
    <row r="29" spans="1:15" s="2" customFormat="1" ht="15.75" x14ac:dyDescent="0.25">
      <c r="A29" s="6" t="s">
        <v>25</v>
      </c>
      <c r="B29" s="13" t="s">
        <v>24</v>
      </c>
      <c r="C29" s="13"/>
      <c r="D29" s="13"/>
      <c r="J29" s="9">
        <v>0</v>
      </c>
      <c r="K29" s="9">
        <f>K30+K31</f>
        <v>0</v>
      </c>
      <c r="M29" s="3"/>
      <c r="N29" s="3"/>
      <c r="O29" s="3"/>
    </row>
    <row r="30" spans="1:15" s="2" customFormat="1" ht="15.75" x14ac:dyDescent="0.25">
      <c r="A30" s="6"/>
      <c r="B30" s="14" t="s">
        <v>23</v>
      </c>
      <c r="C30" s="14" t="s">
        <v>22</v>
      </c>
      <c r="D30" s="14"/>
      <c r="J30" s="9">
        <v>0</v>
      </c>
      <c r="K30" s="12">
        <v>0</v>
      </c>
      <c r="M30" s="3"/>
      <c r="N30" s="3"/>
      <c r="O30" s="3"/>
    </row>
    <row r="31" spans="1:15" s="2" customFormat="1" ht="15.75" x14ac:dyDescent="0.25">
      <c r="A31" s="6"/>
      <c r="B31" s="14" t="s">
        <v>21</v>
      </c>
      <c r="C31" s="14" t="s">
        <v>20</v>
      </c>
      <c r="D31" s="14"/>
      <c r="J31" s="12">
        <f>J30*0.302</f>
        <v>0</v>
      </c>
      <c r="K31" s="12">
        <f>K30*0.302</f>
        <v>0</v>
      </c>
    </row>
    <row r="32" spans="1:15" s="2" customFormat="1" ht="15.75" x14ac:dyDescent="0.25">
      <c r="A32" s="6"/>
      <c r="B32" s="13"/>
      <c r="C32" s="13"/>
      <c r="D32" s="13"/>
      <c r="J32" s="9"/>
      <c r="K32" s="9"/>
      <c r="M32" s="3"/>
      <c r="N32" s="3"/>
      <c r="O32" s="3"/>
    </row>
    <row r="33" spans="1:15" s="2" customFormat="1" ht="15.75" x14ac:dyDescent="0.25">
      <c r="A33" s="6" t="s">
        <v>19</v>
      </c>
      <c r="B33" s="10" t="s">
        <v>18</v>
      </c>
      <c r="C33" s="10"/>
      <c r="D33" s="10"/>
      <c r="E33" s="10"/>
      <c r="J33" s="9">
        <f>4400*12</f>
        <v>52800</v>
      </c>
      <c r="K33" s="9">
        <f>37872.35+10098.32</f>
        <v>47970.67</v>
      </c>
      <c r="M33" s="3"/>
      <c r="N33" s="3"/>
      <c r="O33" s="3"/>
    </row>
    <row r="34" spans="1:15" s="2" customFormat="1" ht="15" x14ac:dyDescent="0.2">
      <c r="J34" s="12"/>
      <c r="K34" s="12"/>
      <c r="M34" s="3"/>
      <c r="N34" s="3"/>
      <c r="O34" s="3"/>
    </row>
    <row r="35" spans="1:15" s="2" customFormat="1" ht="15.75" x14ac:dyDescent="0.25">
      <c r="A35" s="6" t="s">
        <v>17</v>
      </c>
      <c r="B35" s="10" t="s">
        <v>16</v>
      </c>
      <c r="C35" s="10"/>
      <c r="D35" s="10"/>
      <c r="E35" s="10"/>
      <c r="F35" s="10"/>
      <c r="J35" s="9">
        <f>9860*12</f>
        <v>118320</v>
      </c>
      <c r="K35" s="9">
        <f>89014.86+29313.51</f>
        <v>118328.37</v>
      </c>
      <c r="M35" s="3"/>
      <c r="N35" s="3"/>
      <c r="O35" s="3"/>
    </row>
    <row r="36" spans="1:15" s="2" customFormat="1" ht="15" x14ac:dyDescent="0.2">
      <c r="J36" s="12"/>
      <c r="K36" s="12"/>
      <c r="M36" s="3"/>
      <c r="N36" s="3"/>
      <c r="O36" s="3"/>
    </row>
    <row r="37" spans="1:15" s="2" customFormat="1" ht="15.75" x14ac:dyDescent="0.25">
      <c r="A37" s="6" t="s">
        <v>15</v>
      </c>
      <c r="B37" s="6" t="s">
        <v>14</v>
      </c>
      <c r="J37" s="9">
        <f>1320*12</f>
        <v>15840</v>
      </c>
      <c r="K37" s="9">
        <f>14987.1</f>
        <v>14987.1</v>
      </c>
      <c r="M37" s="3"/>
      <c r="N37" s="3"/>
      <c r="O37" s="3"/>
    </row>
    <row r="38" spans="1:15" s="6" customFormat="1" ht="15.75" x14ac:dyDescent="0.25">
      <c r="J38" s="9"/>
      <c r="K38" s="9"/>
      <c r="M38" s="8"/>
      <c r="N38" s="8"/>
      <c r="O38" s="8"/>
    </row>
    <row r="39" spans="1:15" s="2" customFormat="1" ht="15.75" x14ac:dyDescent="0.25">
      <c r="B39" s="6" t="s">
        <v>13</v>
      </c>
      <c r="J39" s="9">
        <f>J4+J10+J17+J22+J29+J33+J35+J37</f>
        <v>746125.94</v>
      </c>
      <c r="K39" s="9">
        <f>K4+K10+K17+K22+K29+K33+K35+K37</f>
        <v>692833.12</v>
      </c>
      <c r="M39" s="3"/>
      <c r="N39" s="3"/>
      <c r="O39" s="3"/>
    </row>
    <row r="40" spans="1:15" s="2" customFormat="1" ht="15.75" x14ac:dyDescent="0.25">
      <c r="B40" s="6" t="s">
        <v>12</v>
      </c>
      <c r="J40" s="12">
        <f>ROUND(J39*7/100,2)</f>
        <v>52228.82</v>
      </c>
      <c r="K40" s="12">
        <f>ROUND(K39*7/100,2)</f>
        <v>48498.32</v>
      </c>
      <c r="M40" s="3"/>
      <c r="N40" s="3"/>
      <c r="O40" s="3"/>
    </row>
    <row r="41" spans="1:15" s="2" customFormat="1" ht="15.75" x14ac:dyDescent="0.25">
      <c r="B41" s="10" t="s">
        <v>11</v>
      </c>
      <c r="C41" s="10"/>
      <c r="D41" s="10"/>
      <c r="J41" s="9">
        <f>SUM(J39:J40)</f>
        <v>798354.75999999989</v>
      </c>
      <c r="K41" s="9">
        <f>SUM(K39:K40)</f>
        <v>741331.44</v>
      </c>
      <c r="M41" s="3"/>
      <c r="N41" s="3"/>
      <c r="O41" s="3"/>
    </row>
    <row r="42" spans="1:15" s="2" customFormat="1" ht="15.75" x14ac:dyDescent="0.25">
      <c r="B42" s="11"/>
      <c r="C42" s="11"/>
      <c r="D42" s="11"/>
      <c r="J42" s="9"/>
      <c r="K42" s="9"/>
      <c r="M42" s="3"/>
      <c r="N42" s="3"/>
      <c r="O42" s="3"/>
    </row>
    <row r="43" spans="1:15" s="2" customFormat="1" ht="15.75" x14ac:dyDescent="0.25">
      <c r="A43" s="6" t="s">
        <v>10</v>
      </c>
      <c r="B43" s="11" t="s">
        <v>9</v>
      </c>
      <c r="C43" s="11"/>
      <c r="D43" s="11"/>
      <c r="J43" s="9">
        <f>8540*12</f>
        <v>102480</v>
      </c>
      <c r="K43" s="9">
        <f>25138.24+27650.31+25225.68+31171.3</f>
        <v>109185.53000000001</v>
      </c>
      <c r="M43" s="3"/>
      <c r="N43" s="3"/>
      <c r="O43" s="3"/>
    </row>
    <row r="44" spans="1:15" s="2" customFormat="1" ht="15.75" x14ac:dyDescent="0.25">
      <c r="B44" s="11"/>
      <c r="C44" s="11"/>
      <c r="D44" s="11"/>
      <c r="J44" s="9"/>
      <c r="K44" s="9"/>
      <c r="M44" s="3"/>
      <c r="N44" s="3"/>
      <c r="O44" s="3"/>
    </row>
    <row r="45" spans="1:15" s="2" customFormat="1" ht="15.75" x14ac:dyDescent="0.25">
      <c r="B45" s="11" t="s">
        <v>8</v>
      </c>
      <c r="C45" s="11"/>
      <c r="D45" s="11"/>
      <c r="J45" s="9">
        <f>J43+J41</f>
        <v>900834.75999999989</v>
      </c>
      <c r="K45" s="9">
        <f>K43+K41</f>
        <v>850516.97</v>
      </c>
      <c r="M45" s="3"/>
      <c r="N45" s="3"/>
      <c r="O45" s="3"/>
    </row>
    <row r="46" spans="1:15" s="6" customFormat="1" ht="15.75" x14ac:dyDescent="0.25">
      <c r="A46" s="10" t="s">
        <v>7</v>
      </c>
      <c r="B46" s="10"/>
      <c r="C46" s="10"/>
      <c r="D46" s="10"/>
      <c r="J46" s="9"/>
      <c r="K46" s="9">
        <f>218103.14+220380.96+221519.94+221519.94</f>
        <v>881523.98</v>
      </c>
      <c r="M46" s="8"/>
      <c r="N46" s="8"/>
      <c r="O46" s="8"/>
    </row>
    <row r="47" spans="1:15" s="6" customFormat="1" ht="15.75" x14ac:dyDescent="0.25">
      <c r="A47" s="10" t="s">
        <v>6</v>
      </c>
      <c r="B47" s="10"/>
      <c r="C47" s="10"/>
      <c r="D47" s="10"/>
      <c r="E47" s="10"/>
      <c r="F47" s="10"/>
      <c r="J47" s="9"/>
      <c r="K47" s="9">
        <f>209423.95+220638.63+217054.27+222664.53</f>
        <v>869781.38</v>
      </c>
      <c r="M47" s="8"/>
      <c r="N47" s="8"/>
      <c r="O47" s="8"/>
    </row>
    <row r="48" spans="1:15" s="2" customFormat="1" ht="15.75" x14ac:dyDescent="0.25">
      <c r="A48" s="6" t="s">
        <v>5</v>
      </c>
      <c r="K48" s="7">
        <f>3110.78+3337.03+3994.2+4717.03</f>
        <v>15159.04</v>
      </c>
      <c r="M48" s="3"/>
      <c r="N48" s="3"/>
      <c r="O48" s="3"/>
    </row>
    <row r="49" spans="1:15" s="2" customFormat="1" ht="15.75" x14ac:dyDescent="0.25">
      <c r="A49" s="6" t="s">
        <v>4</v>
      </c>
      <c r="K49" s="5">
        <f>K47+K48-K45</f>
        <v>34423.45000000007</v>
      </c>
      <c r="M49" s="3"/>
      <c r="N49" s="3"/>
      <c r="O49" s="3"/>
    </row>
    <row r="50" spans="1:15" s="2" customFormat="1" ht="15" x14ac:dyDescent="0.2">
      <c r="M50" s="3"/>
      <c r="N50" s="3"/>
      <c r="O50" s="3"/>
    </row>
    <row r="51" spans="1:15" s="2" customFormat="1" ht="15" x14ac:dyDescent="0.2">
      <c r="B51" s="2" t="s">
        <v>3</v>
      </c>
      <c r="J51" s="2" t="s">
        <v>2</v>
      </c>
      <c r="M51" s="3"/>
      <c r="N51" s="3"/>
      <c r="O51" s="3"/>
    </row>
    <row r="52" spans="1:15" s="2" customFormat="1" ht="15" x14ac:dyDescent="0.2">
      <c r="M52" s="3"/>
      <c r="N52" s="3"/>
      <c r="O52" s="3"/>
    </row>
    <row r="53" spans="1:15" s="2" customFormat="1" ht="15" x14ac:dyDescent="0.2">
      <c r="B53" s="2" t="s">
        <v>1</v>
      </c>
      <c r="I53" s="4"/>
      <c r="J53" s="4" t="s">
        <v>0</v>
      </c>
      <c r="M53" s="3"/>
      <c r="N53" s="3"/>
      <c r="O53" s="3"/>
    </row>
    <row r="54" spans="1:15" s="2" customFormat="1" ht="15" x14ac:dyDescent="0.2">
      <c r="M54" s="3"/>
      <c r="N54" s="3"/>
      <c r="O54" s="3"/>
    </row>
    <row r="55" spans="1:15" s="2" customFormat="1" ht="15" x14ac:dyDescent="0.2">
      <c r="M55" s="3"/>
      <c r="N55" s="3"/>
      <c r="O55" s="3"/>
    </row>
    <row r="56" spans="1:15" s="2" customFormat="1" ht="15" x14ac:dyDescent="0.2">
      <c r="M56" s="3"/>
      <c r="N56" s="3"/>
      <c r="O56" s="3"/>
    </row>
    <row r="57" spans="1:15" s="2" customFormat="1" ht="15" x14ac:dyDescent="0.2">
      <c r="M57" s="3"/>
      <c r="N57" s="3"/>
      <c r="O57" s="3"/>
    </row>
    <row r="58" spans="1:15" s="2" customFormat="1" ht="15" x14ac:dyDescent="0.2">
      <c r="M58" s="3"/>
      <c r="N58" s="3"/>
      <c r="O58" s="3"/>
    </row>
    <row r="59" spans="1:15" s="2" customFormat="1" ht="15" x14ac:dyDescent="0.2">
      <c r="M59" s="3"/>
      <c r="N59" s="3"/>
      <c r="O59" s="3"/>
    </row>
    <row r="60" spans="1:15" s="2" customFormat="1" ht="15" x14ac:dyDescent="0.2">
      <c r="M60" s="3"/>
      <c r="N60" s="3"/>
      <c r="O60" s="3"/>
    </row>
    <row r="61" spans="1:15" s="2" customFormat="1" ht="15" x14ac:dyDescent="0.2">
      <c r="M61" s="3"/>
      <c r="N61" s="3"/>
      <c r="O61" s="3"/>
    </row>
    <row r="62" spans="1:15" s="2" customFormat="1" ht="15" x14ac:dyDescent="0.2">
      <c r="M62" s="3"/>
      <c r="N62" s="3"/>
      <c r="O62" s="3"/>
    </row>
    <row r="63" spans="1:15" s="2" customFormat="1" ht="15" x14ac:dyDescent="0.2">
      <c r="M63" s="3"/>
      <c r="N63" s="3"/>
      <c r="O63" s="3"/>
    </row>
    <row r="64" spans="1:15" s="2" customFormat="1" ht="15" x14ac:dyDescent="0.2">
      <c r="M64" s="3"/>
      <c r="N64" s="3"/>
      <c r="O64" s="3"/>
    </row>
    <row r="65" spans="13:15" s="2" customFormat="1" ht="15" x14ac:dyDescent="0.2">
      <c r="M65" s="3"/>
      <c r="N65" s="3"/>
      <c r="O65" s="3"/>
    </row>
    <row r="66" spans="13:15" s="2" customFormat="1" ht="15" x14ac:dyDescent="0.2">
      <c r="M66" s="3"/>
      <c r="N66" s="3"/>
      <c r="O66" s="3"/>
    </row>
    <row r="67" spans="13:15" s="2" customFormat="1" ht="15" x14ac:dyDescent="0.2">
      <c r="M67" s="3"/>
      <c r="N67" s="3"/>
      <c r="O67" s="3"/>
    </row>
    <row r="68" spans="13:15" s="2" customFormat="1" ht="15" x14ac:dyDescent="0.2">
      <c r="M68" s="3"/>
      <c r="N68" s="3"/>
      <c r="O68" s="3"/>
    </row>
    <row r="69" spans="13:15" s="2" customFormat="1" ht="15" x14ac:dyDescent="0.2">
      <c r="M69" s="3"/>
      <c r="N69" s="3"/>
      <c r="O69" s="3"/>
    </row>
    <row r="70" spans="13:15" s="2" customFormat="1" ht="15" x14ac:dyDescent="0.2">
      <c r="M70" s="3"/>
      <c r="N70" s="3"/>
      <c r="O70" s="3"/>
    </row>
    <row r="71" spans="13:15" s="2" customFormat="1" ht="15" x14ac:dyDescent="0.2">
      <c r="M71" s="3"/>
      <c r="N71" s="3"/>
      <c r="O71" s="3"/>
    </row>
    <row r="72" spans="13:15" s="2" customFormat="1" ht="15" x14ac:dyDescent="0.2">
      <c r="M72" s="3"/>
      <c r="N72" s="3"/>
      <c r="O72" s="3"/>
    </row>
    <row r="73" spans="13:15" s="2" customFormat="1" ht="15" x14ac:dyDescent="0.2">
      <c r="M73" s="3"/>
      <c r="N73" s="3"/>
      <c r="O73" s="3"/>
    </row>
    <row r="74" spans="13:15" s="2" customFormat="1" ht="15" x14ac:dyDescent="0.2">
      <c r="M74" s="3"/>
      <c r="N74" s="3"/>
      <c r="O74" s="3"/>
    </row>
    <row r="75" spans="13:15" s="2" customFormat="1" ht="15" x14ac:dyDescent="0.2">
      <c r="M75" s="3"/>
      <c r="N75" s="3"/>
      <c r="O75" s="3"/>
    </row>
    <row r="76" spans="13:15" s="2" customFormat="1" ht="15" x14ac:dyDescent="0.2">
      <c r="M76" s="3"/>
      <c r="N76" s="3"/>
      <c r="O76" s="3"/>
    </row>
    <row r="77" spans="13:15" s="2" customFormat="1" ht="15" x14ac:dyDescent="0.2">
      <c r="M77" s="3"/>
      <c r="N77" s="3"/>
      <c r="O77" s="3"/>
    </row>
    <row r="78" spans="13:15" s="2" customFormat="1" ht="15" x14ac:dyDescent="0.2">
      <c r="M78" s="3"/>
      <c r="N78" s="3"/>
      <c r="O78" s="3"/>
    </row>
    <row r="79" spans="13:15" s="2" customFormat="1" ht="15" x14ac:dyDescent="0.2">
      <c r="M79" s="3"/>
      <c r="N79" s="3"/>
      <c r="O79" s="3"/>
    </row>
    <row r="80" spans="13:15" s="2" customFormat="1" ht="15" x14ac:dyDescent="0.2"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  <row r="175" spans="13:15" s="2" customFormat="1" ht="15" x14ac:dyDescent="0.2">
      <c r="M175" s="3"/>
      <c r="N175" s="3"/>
      <c r="O175" s="3"/>
    </row>
    <row r="176" spans="13:15" s="2" customFormat="1" ht="15" x14ac:dyDescent="0.2">
      <c r="M176" s="3"/>
      <c r="N176" s="3"/>
      <c r="O176" s="3"/>
    </row>
  </sheetData>
  <mergeCells count="19">
    <mergeCell ref="A1:K1"/>
    <mergeCell ref="A2:K2"/>
    <mergeCell ref="C7:E7"/>
    <mergeCell ref="B4:H4"/>
    <mergeCell ref="B33:E33"/>
    <mergeCell ref="A47:F47"/>
    <mergeCell ref="B35:F35"/>
    <mergeCell ref="C11:F11"/>
    <mergeCell ref="C12:H12"/>
    <mergeCell ref="C25:F25"/>
    <mergeCell ref="C6:F6"/>
    <mergeCell ref="C24:G24"/>
    <mergeCell ref="C18:G18"/>
    <mergeCell ref="C19:G19"/>
    <mergeCell ref="C13:F13"/>
    <mergeCell ref="A46:D46"/>
    <mergeCell ref="B41:D41"/>
    <mergeCell ref="B10:F10"/>
    <mergeCell ref="B17:H17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2022-03-29T12:33:31Z</dcterms:created>
  <dcterms:modified xsi:type="dcterms:W3CDTF">2022-03-29T12:33:43Z</dcterms:modified>
</cp:coreProperties>
</file>