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6" i="1"/>
  <c r="K43" i="1"/>
  <c r="J43" i="1"/>
  <c r="K37" i="1"/>
  <c r="J37" i="1"/>
  <c r="K35" i="1"/>
  <c r="J35" i="1"/>
  <c r="K33" i="1"/>
  <c r="J33" i="1"/>
  <c r="K31" i="1"/>
  <c r="J31" i="1"/>
  <c r="K29" i="1"/>
  <c r="K25" i="1"/>
  <c r="K22" i="1" s="1"/>
  <c r="K24" i="1"/>
  <c r="K23" i="1"/>
  <c r="J22" i="1"/>
  <c r="K17" i="1"/>
  <c r="J17" i="1"/>
  <c r="J16" i="1"/>
  <c r="K14" i="1"/>
  <c r="J14" i="1"/>
  <c r="K13" i="1"/>
  <c r="J13" i="1"/>
  <c r="K12" i="1"/>
  <c r="J12" i="1"/>
  <c r="K11" i="1"/>
  <c r="J11" i="1"/>
  <c r="J10" i="1" s="1"/>
  <c r="K10" i="1"/>
  <c r="K8" i="1"/>
  <c r="J8" i="1"/>
  <c r="K7" i="1"/>
  <c r="J7" i="1"/>
  <c r="J6" i="1"/>
  <c r="K5" i="1"/>
  <c r="K6" i="1" s="1"/>
  <c r="J5" i="1"/>
  <c r="J4" i="1"/>
  <c r="J39" i="1" s="1"/>
  <c r="J40" i="1" l="1"/>
  <c r="J41" i="1"/>
  <c r="J45" i="1" s="1"/>
  <c r="K4" i="1"/>
  <c r="K39" i="1" s="1"/>
  <c r="K40" i="1" l="1"/>
  <c r="K41" i="1" s="1"/>
  <c r="K45" i="1" l="1"/>
  <c r="K49" i="1"/>
</calcChain>
</file>

<file path=xl/sharedStrings.xml><?xml version="1.0" encoding="utf-8"?>
<sst xmlns="http://schemas.openxmlformats.org/spreadsheetml/2006/main" count="76" uniqueCount="76">
  <si>
    <t xml:space="preserve">ОТЧЁТ по расходам на обслуживание </t>
  </si>
  <si>
    <t xml:space="preserve"> д.31 корп. 1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</si>
  <si>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</si>
  <si>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</si>
  <si>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</si>
  <si>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</si>
  <si>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</si>
  <si>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</si>
  <si>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</si>
  <si>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</si>
  <si>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</si>
  <si>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</si>
  <si>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</si>
  <si>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</si>
  <si>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1.5.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</si>
  <si>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</si>
  <si>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</si>
  <si>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</si>
  <si>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</si>
  <si>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</si>
  <si>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</si>
  <si>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</si>
  <si>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</si>
  <si>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</si>
  <si>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</si>
  <si>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</si>
  <si>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</si>
  <si>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</si>
  <si>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</si>
  <si>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</si>
  <si>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</si>
  <si>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</si>
  <si>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</si>
  <si>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</si>
  <si>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</si>
  <si>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</si>
  <si>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</si>
  <si>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</si>
  <si>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</si>
  <si>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</si>
  <si>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</si>
  <si>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</si>
  <si>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</si>
  <si>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</si>
  <si>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</si>
  <si>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</si>
  <si>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</si>
  <si>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</si>
  <si>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балк. козырьков</t>
  </si>
  <si>
    <t>4.6.</t>
  </si>
  <si>
    <t xml:space="preserve">Обследование вентиляции 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</si>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</sst>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76"/>
  <sheetViews>
    <sheetView tabSelected="1" topLeftCell="A16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42578125" customWidth="1"/>
    <col min="13" max="13" width="15.7109375" style="22" customWidth="1"/>
    <col min="14" max="14" width="14.1406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SUM(J5:J8)</f>
        <v>175581.74</v>
      </c>
      <c r="K4" s="9">
        <f>SUM(K5:K9)</f>
        <v>168470.39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10506*12</f>
        <v>126072</v>
      </c>
      <c r="K5" s="11">
        <f>29566.16+23919.41+37199.53+29599.36</f>
        <v>120284.46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38073.74</v>
      </c>
      <c r="K6" s="13">
        <f>ROUND(K5*30.2/100,2)</f>
        <v>36325.910000000003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433*12</f>
        <v>5196</v>
      </c>
      <c r="K7" s="11">
        <f>820.59+2324.21+1471.96+1624.91</f>
        <v>6241.67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520*12</f>
        <v>6240</v>
      </c>
      <c r="K8" s="11">
        <f>840.99+1430.92+838.06+2508.38</f>
        <v>5618.35</v>
      </c>
      <c r="M8" s="6"/>
      <c r="N8" s="6"/>
      <c r="O8" s="6"/>
    </row>
    <row r="9" spans="1:15" s="4" customFormat="1" ht="15" x14ac:dyDescent="0.2">
      <c r="B9" s="4" t="s">
        <v>14</v>
      </c>
      <c r="C9" s="10"/>
      <c r="D9" s="10"/>
      <c r="E9" s="10"/>
      <c r="F9" s="10"/>
      <c r="G9" s="10"/>
      <c r="J9" s="11"/>
      <c r="K9" s="11"/>
      <c r="M9" s="6"/>
      <c r="N9" s="6"/>
      <c r="O9" s="6"/>
    </row>
    <row r="10" spans="1:15" s="4" customFormat="1" ht="15.75" x14ac:dyDescent="0.25">
      <c r="A10" s="7" t="s">
        <v>15</v>
      </c>
      <c r="B10" s="8" t="s">
        <v>16</v>
      </c>
      <c r="C10" s="8"/>
      <c r="D10" s="8"/>
      <c r="E10" s="8"/>
      <c r="F10" s="8"/>
      <c r="J10" s="9">
        <f>SUM(J11:J16)</f>
        <v>52344</v>
      </c>
      <c r="K10" s="9">
        <f>SUM(K11:K16)</f>
        <v>52172.539999999994</v>
      </c>
      <c r="M10" s="6"/>
      <c r="N10" s="6"/>
      <c r="O10" s="6"/>
    </row>
    <row r="11" spans="1:15" s="4" customFormat="1" ht="15" x14ac:dyDescent="0.2">
      <c r="B11" s="4" t="s">
        <v>17</v>
      </c>
      <c r="C11" s="12" t="s">
        <v>18</v>
      </c>
      <c r="D11" s="12"/>
      <c r="E11" s="12"/>
      <c r="F11" s="12"/>
      <c r="J11" s="11">
        <f>302*12</f>
        <v>3624</v>
      </c>
      <c r="K11" s="11">
        <f>925.44+943.92+943.92+943.92</f>
        <v>3757.2000000000003</v>
      </c>
      <c r="M11" s="6"/>
      <c r="N11" s="6"/>
      <c r="O11" s="6"/>
    </row>
    <row r="12" spans="1:15" s="4" customFormat="1" ht="15" x14ac:dyDescent="0.2">
      <c r="B12" s="4" t="s">
        <v>19</v>
      </c>
      <c r="C12" s="12" t="s">
        <v>20</v>
      </c>
      <c r="D12" s="12"/>
      <c r="E12" s="12"/>
      <c r="F12" s="12"/>
      <c r="G12" s="12"/>
      <c r="H12" s="12"/>
      <c r="J12" s="11">
        <f>1885*12</f>
        <v>22620</v>
      </c>
      <c r="K12" s="11">
        <f>5397+5388.69+6266.28+5643.37</f>
        <v>22695.339999999997</v>
      </c>
      <c r="M12" s="6"/>
      <c r="N12" s="6"/>
      <c r="O12" s="6"/>
    </row>
    <row r="13" spans="1:15" s="4" customFormat="1" ht="15" x14ac:dyDescent="0.2">
      <c r="B13" s="4" t="s">
        <v>21</v>
      </c>
      <c r="C13" s="12" t="s">
        <v>22</v>
      </c>
      <c r="D13" s="12"/>
      <c r="E13" s="12"/>
      <c r="F13" s="12"/>
      <c r="J13" s="11">
        <f>1965*12</f>
        <v>23580</v>
      </c>
      <c r="K13" s="11">
        <f>24360+1360</f>
        <v>25720</v>
      </c>
      <c r="M13" s="6"/>
      <c r="N13" s="6"/>
      <c r="O13" s="6"/>
    </row>
    <row r="14" spans="1:15" s="4" customFormat="1" ht="15" x14ac:dyDescent="0.2">
      <c r="B14" s="4" t="s">
        <v>23</v>
      </c>
      <c r="C14" s="15" t="s">
        <v>24</v>
      </c>
      <c r="D14" s="15"/>
      <c r="E14" s="15"/>
      <c r="F14" s="15"/>
      <c r="J14" s="11">
        <f>140*12</f>
        <v>1680</v>
      </c>
      <c r="K14" s="11">
        <f>0</f>
        <v>0</v>
      </c>
    </row>
    <row r="15" spans="1:15" s="4" customFormat="1" ht="15" x14ac:dyDescent="0.2">
      <c r="B15" s="4" t="s">
        <v>25</v>
      </c>
      <c r="C15" s="15" t="s">
        <v>26</v>
      </c>
      <c r="D15" s="15"/>
      <c r="E15" s="15"/>
      <c r="F15" s="15"/>
      <c r="J15" s="11">
        <v>0</v>
      </c>
      <c r="K15" s="11"/>
    </row>
    <row r="16" spans="1:15" s="4" customFormat="1" ht="15" x14ac:dyDescent="0.2">
      <c r="B16" s="4" t="s">
        <v>27</v>
      </c>
      <c r="C16" s="15" t="s">
        <v>28</v>
      </c>
      <c r="D16" s="15"/>
      <c r="E16" s="15"/>
      <c r="F16" s="15"/>
      <c r="J16" s="11">
        <f>70*12</f>
        <v>840</v>
      </c>
      <c r="K16" s="11"/>
    </row>
    <row r="17" spans="1:15" s="4" customFormat="1" ht="15.75" x14ac:dyDescent="0.25">
      <c r="A17" s="7" t="s">
        <v>29</v>
      </c>
      <c r="B17" s="8" t="s">
        <v>30</v>
      </c>
      <c r="C17" s="8"/>
      <c r="D17" s="8"/>
      <c r="E17" s="8"/>
      <c r="F17" s="8"/>
      <c r="G17" s="8"/>
      <c r="H17" s="8"/>
      <c r="J17" s="9">
        <f>SUM(J18:J20)</f>
        <v>0</v>
      </c>
      <c r="K17" s="9">
        <f>SUM(K18:K20)</f>
        <v>0</v>
      </c>
      <c r="M17" s="6"/>
      <c r="N17" s="6"/>
      <c r="O17" s="6"/>
    </row>
    <row r="18" spans="1:15" s="4" customFormat="1" ht="15" x14ac:dyDescent="0.2">
      <c r="B18" s="15" t="s">
        <v>31</v>
      </c>
      <c r="C18" s="12" t="s">
        <v>32</v>
      </c>
      <c r="D18" s="12"/>
      <c r="E18" s="12"/>
      <c r="F18" s="12"/>
      <c r="G18" s="12"/>
      <c r="J18" s="11">
        <v>0</v>
      </c>
      <c r="K18" s="11">
        <v>0</v>
      </c>
      <c r="M18" s="6"/>
      <c r="N18" s="6"/>
      <c r="O18" s="6"/>
    </row>
    <row r="19" spans="1:15" s="4" customFormat="1" ht="15" x14ac:dyDescent="0.2">
      <c r="B19" s="15" t="s">
        <v>33</v>
      </c>
      <c r="C19" s="12" t="s">
        <v>34</v>
      </c>
      <c r="D19" s="12"/>
      <c r="E19" s="12"/>
      <c r="F19" s="12"/>
      <c r="G19" s="12"/>
      <c r="H19" s="10"/>
      <c r="J19" s="11">
        <v>0</v>
      </c>
      <c r="K19" s="11">
        <v>0</v>
      </c>
      <c r="M19" s="6"/>
      <c r="N19" s="6"/>
      <c r="O19" s="6"/>
    </row>
    <row r="20" spans="1:15" s="4" customFormat="1" ht="15" x14ac:dyDescent="0.2">
      <c r="B20" s="4" t="s">
        <v>35</v>
      </c>
      <c r="C20" s="4" t="s">
        <v>36</v>
      </c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J21" s="11"/>
      <c r="K21" s="11"/>
      <c r="M21" s="6"/>
      <c r="N21" s="6"/>
      <c r="O21" s="6"/>
    </row>
    <row r="22" spans="1:15" s="4" customFormat="1" ht="15.75" x14ac:dyDescent="0.25">
      <c r="A22" s="7" t="s">
        <v>37</v>
      </c>
      <c r="B22" s="16" t="s">
        <v>38</v>
      </c>
      <c r="C22" s="16"/>
      <c r="D22" s="16"/>
      <c r="J22" s="9">
        <f>25130*12</f>
        <v>301560</v>
      </c>
      <c r="K22" s="9">
        <f>SUM(K23:K28)</f>
        <v>299700.97000000003</v>
      </c>
      <c r="M22" s="6"/>
      <c r="N22" s="6"/>
      <c r="O22" s="6"/>
    </row>
    <row r="23" spans="1:15" s="4" customFormat="1" ht="15" x14ac:dyDescent="0.2">
      <c r="B23" s="4" t="s">
        <v>39</v>
      </c>
      <c r="C23" s="10" t="s">
        <v>40</v>
      </c>
      <c r="D23" s="10"/>
      <c r="J23" s="11"/>
      <c r="K23" s="11">
        <f>22025.92+33616.23+99385.94+47599.83</f>
        <v>202627.91999999998</v>
      </c>
      <c r="M23" s="6"/>
      <c r="N23" s="6"/>
      <c r="O23" s="6"/>
    </row>
    <row r="24" spans="1:15" s="4" customFormat="1" ht="15" x14ac:dyDescent="0.2">
      <c r="B24" s="4" t="s">
        <v>41</v>
      </c>
      <c r="C24" s="12" t="s">
        <v>42</v>
      </c>
      <c r="D24" s="12"/>
      <c r="E24" s="12"/>
      <c r="F24" s="12"/>
      <c r="G24" s="12"/>
      <c r="J24" s="11"/>
      <c r="K24" s="11">
        <f>23329.03+14564.35+10040.44+14316.57</f>
        <v>62250.39</v>
      </c>
      <c r="M24" s="6"/>
      <c r="N24" s="6"/>
      <c r="O24" s="6"/>
    </row>
    <row r="25" spans="1:15" s="4" customFormat="1" ht="15" x14ac:dyDescent="0.2">
      <c r="B25" s="4" t="s">
        <v>43</v>
      </c>
      <c r="C25" s="12" t="s">
        <v>44</v>
      </c>
      <c r="D25" s="12"/>
      <c r="E25" s="12"/>
      <c r="F25" s="12"/>
      <c r="G25" s="10"/>
      <c r="H25" s="10"/>
      <c r="J25" s="11"/>
      <c r="K25" s="11">
        <f>4765.16+5651.3+5602.22+5124.63</f>
        <v>21143.31</v>
      </c>
      <c r="M25" s="6"/>
      <c r="N25" s="6"/>
      <c r="O25" s="6"/>
    </row>
    <row r="26" spans="1:15" s="4" customFormat="1" ht="15" x14ac:dyDescent="0.2">
      <c r="B26" s="4" t="s">
        <v>45</v>
      </c>
      <c r="C26" s="15" t="s">
        <v>46</v>
      </c>
      <c r="D26" s="15"/>
      <c r="E26" s="15"/>
      <c r="F26" s="15"/>
      <c r="G26" s="10"/>
      <c r="H26" s="10"/>
      <c r="J26" s="11"/>
      <c r="K26" s="11">
        <v>7157.15</v>
      </c>
      <c r="M26" s="6"/>
      <c r="N26" s="6"/>
      <c r="O26" s="6"/>
    </row>
    <row r="27" spans="1:15" s="4" customFormat="1" ht="15" x14ac:dyDescent="0.2">
      <c r="B27" s="4" t="s">
        <v>47</v>
      </c>
      <c r="C27" s="15" t="s">
        <v>48</v>
      </c>
      <c r="D27" s="15"/>
      <c r="E27" s="15"/>
      <c r="F27" s="15"/>
      <c r="G27" s="10"/>
      <c r="H27" s="10"/>
      <c r="J27" s="11"/>
      <c r="K27" s="11"/>
    </row>
    <row r="28" spans="1:15" s="4" customFormat="1" ht="15" x14ac:dyDescent="0.2">
      <c r="B28" s="4" t="s">
        <v>49</v>
      </c>
      <c r="C28" s="15" t="s">
        <v>50</v>
      </c>
      <c r="D28" s="15"/>
      <c r="E28" s="15"/>
      <c r="F28" s="15"/>
      <c r="G28" s="10"/>
      <c r="H28" s="10"/>
      <c r="J28" s="11"/>
      <c r="K28" s="11">
        <v>6522.2</v>
      </c>
    </row>
    <row r="29" spans="1:15" s="4" customFormat="1" ht="15.75" x14ac:dyDescent="0.25">
      <c r="A29" s="7" t="s">
        <v>51</v>
      </c>
      <c r="B29" s="16" t="s">
        <v>52</v>
      </c>
      <c r="C29" s="16"/>
      <c r="D29" s="16"/>
      <c r="J29" s="9">
        <v>0</v>
      </c>
      <c r="K29" s="9">
        <f>K30+K31</f>
        <v>0</v>
      </c>
      <c r="M29" s="6"/>
      <c r="N29" s="6"/>
      <c r="O29" s="6"/>
    </row>
    <row r="30" spans="1:15" s="4" customFormat="1" ht="15.75" x14ac:dyDescent="0.25">
      <c r="A30" s="7"/>
      <c r="B30" s="10" t="s">
        <v>53</v>
      </c>
      <c r="C30" s="10" t="s">
        <v>54</v>
      </c>
      <c r="D30" s="10"/>
      <c r="J30" s="9">
        <v>0</v>
      </c>
      <c r="K30" s="11">
        <v>0</v>
      </c>
      <c r="M30" s="6"/>
      <c r="N30" s="6"/>
      <c r="O30" s="6"/>
    </row>
    <row r="31" spans="1:15" s="4" customFormat="1" ht="15.75" x14ac:dyDescent="0.25">
      <c r="A31" s="7"/>
      <c r="B31" s="10" t="s">
        <v>55</v>
      </c>
      <c r="C31" s="10" t="s">
        <v>56</v>
      </c>
      <c r="D31" s="10"/>
      <c r="J31" s="11">
        <f>J30*0.302</f>
        <v>0</v>
      </c>
      <c r="K31" s="11">
        <f>K30*0.302</f>
        <v>0</v>
      </c>
    </row>
    <row r="32" spans="1:15" s="4" customFormat="1" ht="15.75" x14ac:dyDescent="0.25">
      <c r="A32" s="7"/>
      <c r="B32" s="10"/>
      <c r="C32" s="10"/>
      <c r="D32" s="10"/>
      <c r="J32" s="9"/>
      <c r="K32" s="11"/>
      <c r="M32" s="6"/>
      <c r="N32" s="6"/>
      <c r="O32" s="6"/>
    </row>
    <row r="33" spans="1:15" s="4" customFormat="1" ht="15.75" x14ac:dyDescent="0.25">
      <c r="A33" s="7" t="s">
        <v>57</v>
      </c>
      <c r="B33" s="8" t="s">
        <v>58</v>
      </c>
      <c r="C33" s="8"/>
      <c r="D33" s="8"/>
      <c r="E33" s="8"/>
      <c r="J33" s="9">
        <f>4390*12</f>
        <v>52680</v>
      </c>
      <c r="K33" s="9">
        <f>22997.71+26714.92+17601.72+18622.61</f>
        <v>85936.960000000006</v>
      </c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59</v>
      </c>
      <c r="B35" s="8" t="s">
        <v>60</v>
      </c>
      <c r="C35" s="8"/>
      <c r="D35" s="8"/>
      <c r="E35" s="8"/>
      <c r="F35" s="8"/>
      <c r="J35" s="9">
        <f>10020*12</f>
        <v>120240</v>
      </c>
      <c r="K35" s="9">
        <f>48779.57+49443.49+47325.92+43536.31</f>
        <v>189085.28999999998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61</v>
      </c>
      <c r="B37" s="7" t="s">
        <v>62</v>
      </c>
      <c r="J37" s="9">
        <f>1320*12</f>
        <v>15840</v>
      </c>
      <c r="K37" s="9">
        <f>14295.92+155.55</f>
        <v>14451.47</v>
      </c>
      <c r="M37" s="6"/>
      <c r="N37" s="6"/>
      <c r="O37" s="6"/>
    </row>
    <row r="38" spans="1:15" s="4" customFormat="1" ht="15.75" x14ac:dyDescent="0.25">
      <c r="A38" s="7"/>
      <c r="B38" s="7"/>
      <c r="J38" s="9"/>
      <c r="K38" s="9"/>
      <c r="M38" s="6"/>
      <c r="N38" s="6"/>
      <c r="O38" s="6"/>
    </row>
    <row r="39" spans="1:15" s="4" customFormat="1" ht="15.75" x14ac:dyDescent="0.25">
      <c r="B39" s="7" t="s">
        <v>63</v>
      </c>
      <c r="J39" s="9">
        <f>J4+J10+J17+J22+J26+J33+J35+J37</f>
        <v>718245.74</v>
      </c>
      <c r="K39" s="9">
        <f>K4+K10+K17+K22+K29+K33+K35+K37</f>
        <v>809817.61999999988</v>
      </c>
      <c r="M39" s="6"/>
      <c r="N39" s="6"/>
      <c r="O39" s="6"/>
    </row>
    <row r="40" spans="1:15" s="4" customFormat="1" ht="15.75" x14ac:dyDescent="0.25">
      <c r="B40" s="7" t="s">
        <v>64</v>
      </c>
      <c r="J40" s="11">
        <f>ROUND(J39*7/100,2)</f>
        <v>50277.2</v>
      </c>
      <c r="K40" s="11">
        <f>ROUND(K39*7/100,2)</f>
        <v>56687.23</v>
      </c>
      <c r="M40" s="6"/>
      <c r="N40" s="6"/>
      <c r="O40" s="6"/>
    </row>
    <row r="41" spans="1:15" s="4" customFormat="1" ht="15.75" x14ac:dyDescent="0.25">
      <c r="B41" s="8" t="s">
        <v>65</v>
      </c>
      <c r="C41" s="8"/>
      <c r="D41" s="8"/>
      <c r="J41" s="9">
        <f>SUM(J39:J40)</f>
        <v>768522.94</v>
      </c>
      <c r="K41" s="9">
        <f>SUM(K39:K40)</f>
        <v>866504.84999999986</v>
      </c>
      <c r="M41" s="6"/>
      <c r="N41" s="6"/>
      <c r="O41" s="6"/>
    </row>
    <row r="42" spans="1:15" s="4" customFormat="1" ht="15.75" x14ac:dyDescent="0.25">
      <c r="B42" s="17"/>
      <c r="C42" s="17"/>
      <c r="D42" s="17"/>
      <c r="J42" s="9"/>
      <c r="K42" s="9"/>
      <c r="M42" s="6"/>
      <c r="N42" s="6"/>
      <c r="O42" s="6"/>
    </row>
    <row r="43" spans="1:15" s="4" customFormat="1" ht="15.75" x14ac:dyDescent="0.25">
      <c r="A43" s="7" t="s">
        <v>66</v>
      </c>
      <c r="B43" s="17" t="s">
        <v>67</v>
      </c>
      <c r="C43" s="17"/>
      <c r="D43" s="17"/>
      <c r="J43" s="9">
        <f>8220*12</f>
        <v>98640</v>
      </c>
      <c r="K43" s="9">
        <f>24645.75+24645.75+24062.11+25144.09</f>
        <v>98497.7</v>
      </c>
      <c r="M43" s="6"/>
      <c r="N43" s="6"/>
      <c r="O43" s="6"/>
    </row>
    <row r="44" spans="1:15" s="4" customFormat="1" ht="15.75" x14ac:dyDescent="0.25">
      <c r="A44" s="7"/>
      <c r="B44" s="17"/>
      <c r="C44" s="17"/>
      <c r="D44" s="17"/>
      <c r="J44" s="9"/>
      <c r="K44" s="9"/>
      <c r="M44" s="6"/>
      <c r="N44" s="6"/>
      <c r="O44" s="6"/>
    </row>
    <row r="45" spans="1:15" s="4" customFormat="1" ht="15.75" x14ac:dyDescent="0.25">
      <c r="A45" s="7"/>
      <c r="B45" s="17" t="s">
        <v>68</v>
      </c>
      <c r="C45" s="17"/>
      <c r="D45" s="17"/>
      <c r="J45" s="9">
        <f>J43+J41</f>
        <v>867162.94</v>
      </c>
      <c r="K45" s="9">
        <f>K43+K41</f>
        <v>965002.54999999981</v>
      </c>
      <c r="M45" s="6"/>
      <c r="N45" s="6"/>
      <c r="O45" s="6"/>
    </row>
    <row r="46" spans="1:15" s="7" customFormat="1" ht="15.75" x14ac:dyDescent="0.25">
      <c r="A46" s="8" t="s">
        <v>69</v>
      </c>
      <c r="B46" s="8"/>
      <c r="C46" s="8"/>
      <c r="D46" s="8"/>
      <c r="J46" s="9"/>
      <c r="K46" s="9">
        <f>212281.02+212281.02+213133.5+213133.5</f>
        <v>850829.04</v>
      </c>
      <c r="M46" s="18"/>
      <c r="N46" s="18"/>
      <c r="O46" s="18"/>
    </row>
    <row r="47" spans="1:15" s="7" customFormat="1" ht="15.75" x14ac:dyDescent="0.25">
      <c r="A47" s="8" t="s">
        <v>70</v>
      </c>
      <c r="B47" s="8"/>
      <c r="C47" s="8"/>
      <c r="D47" s="8"/>
      <c r="E47" s="8"/>
      <c r="F47" s="8"/>
      <c r="J47" s="9"/>
      <c r="K47" s="9">
        <f>807631.66+94.98</f>
        <v>807726.64</v>
      </c>
      <c r="M47" s="18"/>
      <c r="N47" s="18"/>
      <c r="O47" s="18"/>
    </row>
    <row r="48" spans="1:15" s="4" customFormat="1" ht="15.75" x14ac:dyDescent="0.25">
      <c r="A48" s="7" t="s">
        <v>71</v>
      </c>
      <c r="K48" s="19">
        <f>3925.67+3350.39+3153.03+5082.9</f>
        <v>15511.99</v>
      </c>
      <c r="M48" s="6"/>
      <c r="N48" s="6"/>
      <c r="O48" s="6"/>
    </row>
    <row r="49" spans="1:15" s="4" customFormat="1" ht="15.75" x14ac:dyDescent="0.25">
      <c r="A49" s="7" t="s">
        <v>72</v>
      </c>
      <c r="K49" s="20">
        <f>K47+K48-K41</f>
        <v>-43266.219999999856</v>
      </c>
      <c r="M49" s="6"/>
      <c r="N49" s="6"/>
      <c r="O49" s="6"/>
    </row>
    <row r="50" spans="1:15" s="4" customFormat="1" ht="15.75" x14ac:dyDescent="0.25">
      <c r="A50" s="7"/>
      <c r="M50" s="6"/>
      <c r="N50" s="6"/>
      <c r="O50" s="6"/>
    </row>
    <row r="51" spans="1:15" s="4" customFormat="1" ht="15" x14ac:dyDescent="0.2">
      <c r="B51" s="4" t="s">
        <v>73</v>
      </c>
      <c r="J51" s="4" t="s">
        <v>74</v>
      </c>
      <c r="M51" s="6"/>
      <c r="N51" s="6"/>
      <c r="O51" s="6"/>
    </row>
    <row r="52" spans="1:15" s="4" customFormat="1" ht="15" x14ac:dyDescent="0.2">
      <c r="M52" s="6"/>
      <c r="N52" s="6"/>
      <c r="O52" s="6"/>
    </row>
    <row r="53" spans="1:15" s="4" customFormat="1" ht="15" x14ac:dyDescent="0.2">
      <c r="B53" s="4" t="s">
        <v>75</v>
      </c>
      <c r="I53" s="21"/>
      <c r="M53" s="6"/>
      <c r="N53" s="6"/>
      <c r="O53" s="6"/>
    </row>
    <row r="54" spans="1:15" s="4" customFormat="1" ht="15" x14ac:dyDescent="0.2"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</sheetData>
  <mergeCells count="19">
    <mergeCell ref="A47:F47"/>
    <mergeCell ref="C24:G24"/>
    <mergeCell ref="C25:F25"/>
    <mergeCell ref="B33:E33"/>
    <mergeCell ref="B35:F35"/>
    <mergeCell ref="B41:D41"/>
    <mergeCell ref="A46:D46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2021-03-26T10:34:54Z</dcterms:created>
  <dcterms:modified xsi:type="dcterms:W3CDTF">2021-03-26T10:34:56Z</dcterms:modified>
</cp:coreProperties>
</file>