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30-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4" i="1"/>
  <c r="J44" i="1"/>
  <c r="K38" i="1"/>
  <c r="J38" i="1"/>
  <c r="K36" i="1"/>
  <c r="J36" i="1"/>
  <c r="K34" i="1"/>
  <c r="J34" i="1"/>
  <c r="K32" i="1"/>
  <c r="J32" i="1"/>
  <c r="K30" i="1"/>
  <c r="K25" i="1"/>
  <c r="K22" i="1" s="1"/>
  <c r="K24" i="1"/>
  <c r="K23" i="1"/>
  <c r="J22" i="1"/>
  <c r="K17" i="1"/>
  <c r="J17" i="1"/>
  <c r="J16" i="1"/>
  <c r="K14" i="1"/>
  <c r="J14" i="1"/>
  <c r="K13" i="1"/>
  <c r="J13" i="1"/>
  <c r="K12" i="1"/>
  <c r="J12" i="1"/>
  <c r="K11" i="1"/>
  <c r="J11" i="1"/>
  <c r="J10" i="1" s="1"/>
  <c r="K10" i="1"/>
  <c r="K8" i="1"/>
  <c r="J8" i="1"/>
  <c r="K7" i="1"/>
  <c r="J7" i="1"/>
  <c r="J6" i="1"/>
  <c r="J4" i="1" s="1"/>
  <c r="J40" i="1" s="1"/>
  <c r="K5" i="1"/>
  <c r="K6" i="1" s="1"/>
  <c r="J5" i="1"/>
  <c r="J41" i="1" l="1"/>
  <c r="J42" i="1"/>
  <c r="J46" i="1" s="1"/>
  <c r="K4" i="1"/>
  <c r="K40" i="1" s="1"/>
  <c r="K41" i="1" l="1"/>
  <c r="K42" i="1" s="1"/>
  <c r="K50" i="1" l="1"/>
  <c r="K46" i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<sst xmlns="http://schemas.openxmlformats.org/spreadsheetml/2006/main" count="78" uniqueCount="78">
  <si>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</si>
  <si>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д.30 корп. 3 по ул. Зубковой за январь-декабрь 2020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</si>
  <si>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</si>
  <si>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</si>
  <si>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</si>
  <si>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</si>
  <si>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</si>
  <si>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</si>
  <si>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</si>
  <si>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</si>
  <si>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</si>
  <si>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</si>
  <si>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</si>
  <si>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Прочее: (уборка снега, окос)</t>
  </si>
  <si>
    <t>2.</t>
  </si>
  <si>
    <t>Содержание домохозяйства :</t>
  </si>
  <si>
    <t>2.1.</t>
  </si>
  <si>
    <t>Дератизация, дезинсекция</t>
  </si>
  <si>
    <t>2.2.</t>
  </si>
  <si>
    <t>Услуга АРС (Аварийно-ремонтной службы)</t>
  </si>
  <si>
    <t>2.3.</t>
  </si>
  <si>
    <t>Рязаньгоргаз</t>
  </si>
  <si>
    <t>2.4.</t>
  </si>
  <si>
    <t>Проверка вент.каналов</t>
  </si>
  <si>
    <t>2.5.</t>
  </si>
  <si>
    <t>Тех.диагностика ВДГО</t>
  </si>
  <si>
    <t>2.6.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</si>
  <si>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</si>
  <si>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</si>
  <si>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</si>
  <si>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</si>
  <si>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</si>
  <si>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</si>
  <si>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</si>
  <si>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</si>
  <si>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</si>
  <si>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</si>
  <si>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</si>
  <si>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</si>
  <si>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</si>
  <si>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</si>
  <si>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</si>
  <si>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</si>
  <si>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</si>
  <si>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</si>
  <si>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Пусконаладка узла учета теплоэнерг</t>
  </si>
  <si>
    <t>4.5.</t>
  </si>
  <si>
    <t>Ремонт межпаненьных швов</t>
  </si>
  <si>
    <t>4.6.</t>
  </si>
  <si>
    <t>Ремонт балк. Козырьков</t>
  </si>
  <si>
    <t>4.7.</t>
  </si>
  <si>
    <t>Обследование вентиляции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</si>
  <si>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</si>
  <si>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</si>
  <si>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</si>
  <si>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</si>
  <si>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</si>
  <si>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</si>
  <si>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</si>
  <si>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</si>
  <si>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</si>
  <si>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</si>
  <si>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</si>
  <si>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</si>
  <si>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Итого:</t>
  </si>
  <si>
    <t>Рентабельность</t>
  </si>
  <si>
    <t>Всего:</t>
  </si>
  <si>
    <t>9.</t>
  </si>
  <si>
    <t>Расходы на ОДН (ГВС, ГВС, эл. эн.)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</si>
  <si>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</si>
  <si>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</si>
  <si>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</si>
  <si>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</si>
  <si>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</si>
  <si>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</si>
  <si>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</si>
  <si>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</si>
  <si>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Баринова Т.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</si>
</sst>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/>
    <xf numFmtId="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177"/>
  <sheetViews>
    <sheetView tabSelected="1" topLeftCell="A16" workbookViewId="0">
      <selection activeCell="K49" sqref="K4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5.7109375" style="22" customWidth="1"/>
    <col min="14" max="14" width="13.57031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SUM(J5:J8)</f>
        <v>174881.16</v>
      </c>
      <c r="K4" s="9">
        <f>SUM(K5:K8)</f>
        <v>163088.39000000001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10465*12</f>
        <v>125580</v>
      </c>
      <c r="K5" s="11">
        <f>29566.16+29360.26+38545.03+20013.86</f>
        <v>117485.31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37925.160000000003</v>
      </c>
      <c r="K6" s="13">
        <f>ROUND(K5*30.2/100,2)</f>
        <v>35480.559999999998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431*12</f>
        <v>5172</v>
      </c>
      <c r="K7" s="11">
        <f>361.86+918.16+1966.33+1289.5</f>
        <v>4535.8500000000004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517*12</f>
        <v>6204</v>
      </c>
      <c r="K8" s="11">
        <f>836.25+1422.85+833.34+2494.23</f>
        <v>5586.67</v>
      </c>
      <c r="M8" s="6"/>
      <c r="N8" s="6"/>
      <c r="O8" s="6"/>
    </row>
    <row r="9" spans="1:15" s="4" customFormat="1" ht="15" x14ac:dyDescent="0.2">
      <c r="J9" s="11"/>
      <c r="K9" s="11"/>
      <c r="M9" s="6"/>
      <c r="N9" s="6"/>
      <c r="O9" s="6"/>
    </row>
    <row r="10" spans="1:15" s="4" customFormat="1" ht="15.75" x14ac:dyDescent="0.25">
      <c r="A10" s="7" t="s">
        <v>14</v>
      </c>
      <c r="B10" s="8" t="s">
        <v>15</v>
      </c>
      <c r="C10" s="8"/>
      <c r="D10" s="8"/>
      <c r="E10" s="8"/>
      <c r="F10" s="8"/>
      <c r="J10" s="9">
        <f>SUM(J11:J16)</f>
        <v>52488</v>
      </c>
      <c r="K10" s="9">
        <f>SUM(K11:K16)</f>
        <v>54076.24</v>
      </c>
      <c r="M10" s="6"/>
      <c r="N10" s="6"/>
      <c r="O10" s="6"/>
    </row>
    <row r="11" spans="1:15" s="4" customFormat="1" ht="15" x14ac:dyDescent="0.2">
      <c r="B11" s="4" t="s">
        <v>16</v>
      </c>
      <c r="C11" s="12" t="s">
        <v>17</v>
      </c>
      <c r="D11" s="12"/>
      <c r="E11" s="12"/>
      <c r="F11" s="12"/>
      <c r="J11" s="11">
        <f>301*12</f>
        <v>3612</v>
      </c>
      <c r="K11" s="11">
        <f>923.38+941.82+941.82+941.82</f>
        <v>3748.84</v>
      </c>
      <c r="M11" s="6"/>
      <c r="N11" s="6"/>
      <c r="O11" s="6"/>
    </row>
    <row r="12" spans="1:15" s="4" customFormat="1" ht="15" x14ac:dyDescent="0.2">
      <c r="B12" s="4" t="s">
        <v>18</v>
      </c>
      <c r="C12" s="12" t="s">
        <v>19</v>
      </c>
      <c r="D12" s="12"/>
      <c r="E12" s="12"/>
      <c r="F12" s="12"/>
      <c r="G12" s="12"/>
      <c r="H12" s="12"/>
      <c r="J12" s="11">
        <f>1874*12</f>
        <v>22488</v>
      </c>
      <c r="K12" s="11">
        <f>5366.58+5358.32+6230.95+5611.55</f>
        <v>22567.399999999998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F13" s="12"/>
      <c r="J13" s="11">
        <f>1988*12</f>
        <v>23856</v>
      </c>
      <c r="K13" s="11">
        <f>26060+1700</f>
        <v>27760</v>
      </c>
      <c r="M13" s="6"/>
      <c r="N13" s="6"/>
      <c r="O13" s="6"/>
    </row>
    <row r="14" spans="1:15" s="4" customFormat="1" ht="15" x14ac:dyDescent="0.2">
      <c r="B14" s="4" t="s">
        <v>22</v>
      </c>
      <c r="C14" s="15" t="s">
        <v>23</v>
      </c>
      <c r="D14" s="15"/>
      <c r="E14" s="15"/>
      <c r="F14" s="15"/>
      <c r="J14" s="11">
        <f>141*12</f>
        <v>1692</v>
      </c>
      <c r="K14" s="11">
        <f>0</f>
        <v>0</v>
      </c>
    </row>
    <row r="15" spans="1:15" s="4" customFormat="1" ht="15" x14ac:dyDescent="0.2">
      <c r="B15" s="4" t="s">
        <v>24</v>
      </c>
      <c r="C15" s="15" t="s">
        <v>25</v>
      </c>
      <c r="D15" s="15"/>
      <c r="E15" s="15"/>
      <c r="F15" s="15"/>
      <c r="J15" s="11">
        <v>0</v>
      </c>
      <c r="K15" s="11"/>
    </row>
    <row r="16" spans="1:15" s="4" customFormat="1" ht="15" x14ac:dyDescent="0.2">
      <c r="B16" s="4" t="s">
        <v>26</v>
      </c>
      <c r="C16" s="15" t="s">
        <v>27</v>
      </c>
      <c r="D16" s="15"/>
      <c r="E16" s="15"/>
      <c r="F16" s="15"/>
      <c r="J16" s="11">
        <f>70*12</f>
        <v>840</v>
      </c>
      <c r="K16" s="11"/>
    </row>
    <row r="17" spans="1:15" s="4" customFormat="1" ht="15.75" x14ac:dyDescent="0.25">
      <c r="A17" s="7" t="s">
        <v>28</v>
      </c>
      <c r="B17" s="8" t="s">
        <v>29</v>
      </c>
      <c r="C17" s="8"/>
      <c r="D17" s="8"/>
      <c r="E17" s="8"/>
      <c r="F17" s="8"/>
      <c r="G17" s="8"/>
      <c r="H17" s="8"/>
      <c r="J17" s="9">
        <f>SUM(J18:J20)</f>
        <v>0</v>
      </c>
      <c r="K17" s="9">
        <f>SUM(K18:K20)</f>
        <v>0</v>
      </c>
      <c r="M17" s="6"/>
      <c r="N17" s="6"/>
      <c r="O17" s="6"/>
    </row>
    <row r="18" spans="1:15" s="4" customFormat="1" ht="15" x14ac:dyDescent="0.2">
      <c r="B18" s="15" t="s">
        <v>30</v>
      </c>
      <c r="C18" s="12" t="s">
        <v>31</v>
      </c>
      <c r="D18" s="12"/>
      <c r="E18" s="12"/>
      <c r="F18" s="12"/>
      <c r="G18" s="12"/>
      <c r="J18" s="11">
        <v>0</v>
      </c>
      <c r="K18" s="11">
        <v>0</v>
      </c>
      <c r="M18" s="6"/>
      <c r="N18" s="6"/>
      <c r="O18" s="6"/>
    </row>
    <row r="19" spans="1:15" s="4" customFormat="1" ht="15" x14ac:dyDescent="0.2">
      <c r="B19" s="15" t="s">
        <v>32</v>
      </c>
      <c r="C19" s="12" t="s">
        <v>33</v>
      </c>
      <c r="D19" s="12"/>
      <c r="E19" s="12"/>
      <c r="F19" s="12"/>
      <c r="G19" s="12"/>
      <c r="H19" s="10"/>
      <c r="J19" s="11">
        <v>0</v>
      </c>
      <c r="K19" s="11">
        <v>0</v>
      </c>
      <c r="M19" s="6"/>
      <c r="N19" s="6"/>
      <c r="O19" s="6"/>
    </row>
    <row r="20" spans="1:15" s="4" customFormat="1" ht="15" x14ac:dyDescent="0.2">
      <c r="B20" s="4" t="s">
        <v>34</v>
      </c>
      <c r="C20" s="4" t="s">
        <v>35</v>
      </c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J21" s="11"/>
      <c r="K21" s="11"/>
      <c r="M21" s="6"/>
      <c r="N21" s="6"/>
      <c r="O21" s="6"/>
    </row>
    <row r="22" spans="1:15" s="4" customFormat="1" ht="15.75" x14ac:dyDescent="0.25">
      <c r="A22" s="7" t="s">
        <v>36</v>
      </c>
      <c r="B22" s="16" t="s">
        <v>37</v>
      </c>
      <c r="C22" s="16"/>
      <c r="D22" s="16"/>
      <c r="J22" s="9">
        <f>27860*12</f>
        <v>334320</v>
      </c>
      <c r="K22" s="9">
        <f>SUM(K23:K28)</f>
        <v>253902.37999999998</v>
      </c>
      <c r="M22" s="6"/>
      <c r="N22" s="6"/>
      <c r="O22" s="6"/>
    </row>
    <row r="23" spans="1:15" s="4" customFormat="1" ht="15" x14ac:dyDescent="0.2">
      <c r="B23" s="4" t="s">
        <v>38</v>
      </c>
      <c r="C23" s="10" t="s">
        <v>39</v>
      </c>
      <c r="D23" s="10"/>
      <c r="J23" s="11"/>
      <c r="K23" s="11">
        <f>31877.45+18069.1+79458.98+16739.52</f>
        <v>146145.04999999999</v>
      </c>
      <c r="M23" s="6"/>
      <c r="N23" s="6"/>
      <c r="O23" s="6"/>
    </row>
    <row r="24" spans="1:15" s="4" customFormat="1" ht="15" x14ac:dyDescent="0.2">
      <c r="B24" s="4" t="s">
        <v>40</v>
      </c>
      <c r="C24" s="12" t="s">
        <v>41</v>
      </c>
      <c r="D24" s="12"/>
      <c r="E24" s="12"/>
      <c r="F24" s="12"/>
      <c r="G24" s="12"/>
      <c r="J24" s="11"/>
      <c r="K24" s="11">
        <f>24052.16+14363.38+9301.31+13292.14</f>
        <v>61008.99</v>
      </c>
      <c r="M24" s="6"/>
      <c r="N24" s="6"/>
      <c r="O24" s="6"/>
    </row>
    <row r="25" spans="1:15" s="4" customFormat="1" ht="15" x14ac:dyDescent="0.2">
      <c r="B25" s="4" t="s">
        <v>42</v>
      </c>
      <c r="C25" s="12" t="s">
        <v>43</v>
      </c>
      <c r="D25" s="12"/>
      <c r="E25" s="12"/>
      <c r="F25" s="12"/>
      <c r="G25" s="10"/>
      <c r="H25" s="10"/>
      <c r="J25" s="11"/>
      <c r="K25" s="11">
        <f>4738.3+5619.44+5570.64+5095.74</f>
        <v>21024.120000000003</v>
      </c>
      <c r="M25" s="6"/>
      <c r="N25" s="6"/>
      <c r="O25" s="6"/>
    </row>
    <row r="26" spans="1:15" s="4" customFormat="1" ht="15" x14ac:dyDescent="0.2">
      <c r="B26" s="4" t="s">
        <v>44</v>
      </c>
      <c r="C26" s="15" t="s">
        <v>45</v>
      </c>
      <c r="D26" s="15"/>
      <c r="E26" s="15"/>
      <c r="F26" s="15"/>
      <c r="G26" s="10"/>
      <c r="H26" s="10"/>
      <c r="J26" s="11"/>
      <c r="K26" s="11">
        <v>3500</v>
      </c>
    </row>
    <row r="27" spans="1:15" s="4" customFormat="1" ht="15" x14ac:dyDescent="0.2">
      <c r="B27" s="4" t="s">
        <v>46</v>
      </c>
      <c r="C27" s="15" t="s">
        <v>47</v>
      </c>
      <c r="D27" s="15"/>
      <c r="E27" s="15"/>
      <c r="F27" s="15"/>
      <c r="G27" s="10"/>
      <c r="H27" s="10"/>
      <c r="J27" s="11"/>
      <c r="K27" s="11">
        <v>2224.2199999999998</v>
      </c>
      <c r="M27" s="6"/>
      <c r="N27" s="6"/>
      <c r="O27" s="6"/>
    </row>
    <row r="28" spans="1:15" s="4" customFormat="1" ht="15" x14ac:dyDescent="0.2">
      <c r="B28" s="4" t="s">
        <v>48</v>
      </c>
      <c r="C28" s="15" t="s">
        <v>49</v>
      </c>
      <c r="D28" s="15"/>
      <c r="E28" s="15"/>
      <c r="F28" s="15"/>
      <c r="G28" s="10"/>
      <c r="H28" s="10"/>
      <c r="J28" s="11"/>
      <c r="K28" s="11">
        <v>20000</v>
      </c>
    </row>
    <row r="29" spans="1:15" s="4" customFormat="1" ht="15" x14ac:dyDescent="0.2">
      <c r="B29" s="4" t="s">
        <v>50</v>
      </c>
      <c r="C29" s="15" t="s">
        <v>51</v>
      </c>
      <c r="D29" s="15"/>
      <c r="E29" s="15"/>
      <c r="F29" s="15"/>
      <c r="G29" s="10"/>
      <c r="H29" s="10"/>
      <c r="J29" s="11"/>
      <c r="K29" s="11">
        <v>673.68</v>
      </c>
    </row>
    <row r="30" spans="1:15" s="4" customFormat="1" ht="15.75" x14ac:dyDescent="0.25">
      <c r="A30" s="7" t="s">
        <v>52</v>
      </c>
      <c r="B30" s="16" t="s">
        <v>53</v>
      </c>
      <c r="C30" s="16"/>
      <c r="D30" s="16"/>
      <c r="J30" s="9">
        <v>0</v>
      </c>
      <c r="K30" s="9">
        <f>K31+K32</f>
        <v>0</v>
      </c>
      <c r="M30" s="6"/>
      <c r="N30" s="6"/>
      <c r="O30" s="6"/>
    </row>
    <row r="31" spans="1:15" s="4" customFormat="1" ht="15.75" x14ac:dyDescent="0.25">
      <c r="A31" s="7"/>
      <c r="B31" s="10" t="s">
        <v>54</v>
      </c>
      <c r="C31" s="10" t="s">
        <v>55</v>
      </c>
      <c r="D31" s="10"/>
      <c r="J31" s="9">
        <v>0</v>
      </c>
      <c r="K31" s="11">
        <v>0</v>
      </c>
      <c r="M31" s="6"/>
      <c r="N31" s="6"/>
      <c r="O31" s="6"/>
    </row>
    <row r="32" spans="1:15" s="4" customFormat="1" ht="15.75" x14ac:dyDescent="0.25">
      <c r="A32" s="7"/>
      <c r="B32" s="10" t="s">
        <v>56</v>
      </c>
      <c r="C32" s="10" t="s">
        <v>57</v>
      </c>
      <c r="D32" s="10"/>
      <c r="J32" s="11">
        <f>J31*0.302</f>
        <v>0</v>
      </c>
      <c r="K32" s="11">
        <f>K31*0.302</f>
        <v>0</v>
      </c>
    </row>
    <row r="33" spans="1:15" s="4" customFormat="1" ht="15.75" x14ac:dyDescent="0.25">
      <c r="A33" s="7"/>
      <c r="B33" s="10"/>
      <c r="C33" s="10"/>
      <c r="D33" s="10"/>
      <c r="J33" s="11"/>
      <c r="K33" s="11"/>
    </row>
    <row r="34" spans="1:15" s="4" customFormat="1" ht="15.75" x14ac:dyDescent="0.25">
      <c r="A34" s="7" t="s">
        <v>58</v>
      </c>
      <c r="B34" s="8" t="s">
        <v>59</v>
      </c>
      <c r="C34" s="8"/>
      <c r="D34" s="8"/>
      <c r="E34" s="8"/>
      <c r="J34" s="9">
        <f>4370*12</f>
        <v>52440</v>
      </c>
      <c r="K34" s="9">
        <f>22868.06+26564.32+20261.84+18517.62</f>
        <v>88211.839999999997</v>
      </c>
      <c r="M34" s="6"/>
      <c r="N34" s="6"/>
      <c r="O34" s="6"/>
    </row>
    <row r="35" spans="1:15" s="4" customFormat="1" ht="15" x14ac:dyDescent="0.2">
      <c r="J35" s="11"/>
      <c r="K35" s="11"/>
      <c r="M35" s="6"/>
      <c r="N35" s="6"/>
      <c r="O35" s="6"/>
    </row>
    <row r="36" spans="1:15" s="4" customFormat="1" ht="15.75" x14ac:dyDescent="0.25">
      <c r="A36" s="7" t="s">
        <v>60</v>
      </c>
      <c r="B36" s="8" t="s">
        <v>61</v>
      </c>
      <c r="C36" s="8"/>
      <c r="D36" s="8"/>
      <c r="E36" s="8"/>
      <c r="F36" s="8"/>
      <c r="J36" s="9">
        <f>11280*12</f>
        <v>135360</v>
      </c>
      <c r="K36" s="9">
        <f>48504.58+49164.76+47059.13+43290.88</f>
        <v>188019.35</v>
      </c>
      <c r="M36" s="6"/>
      <c r="N36" s="6"/>
      <c r="O36" s="6"/>
    </row>
    <row r="37" spans="1:15" s="4" customFormat="1" ht="15" x14ac:dyDescent="0.2">
      <c r="J37" s="11"/>
      <c r="K37" s="11"/>
      <c r="M37" s="6"/>
      <c r="N37" s="6"/>
      <c r="O37" s="6"/>
    </row>
    <row r="38" spans="1:15" s="4" customFormat="1" ht="15.75" x14ac:dyDescent="0.25">
      <c r="A38" s="7" t="s">
        <v>62</v>
      </c>
      <c r="B38" s="7" t="s">
        <v>63</v>
      </c>
      <c r="J38" s="9">
        <f>1310*12</f>
        <v>15720</v>
      </c>
      <c r="K38" s="9">
        <f>14215.32+154.68</f>
        <v>14370</v>
      </c>
      <c r="M38" s="6"/>
      <c r="N38" s="6"/>
      <c r="O38" s="6"/>
    </row>
    <row r="39" spans="1:15" s="4" customFormat="1" ht="15.75" x14ac:dyDescent="0.25">
      <c r="A39" s="7"/>
      <c r="B39" s="7"/>
      <c r="J39" s="9"/>
      <c r="K39" s="9"/>
      <c r="M39" s="6"/>
      <c r="N39" s="6"/>
      <c r="O39" s="6"/>
    </row>
    <row r="40" spans="1:15" s="4" customFormat="1" ht="15.75" x14ac:dyDescent="0.25">
      <c r="B40" s="7" t="s">
        <v>64</v>
      </c>
      <c r="J40" s="9">
        <f>J4+J10+J17+J22+J28+J34+J36+J38</f>
        <v>765209.16</v>
      </c>
      <c r="K40" s="9">
        <f>K4+K10+K17+K22+K30+K34+K36+K38</f>
        <v>761668.2</v>
      </c>
      <c r="M40" s="6"/>
      <c r="N40" s="6"/>
      <c r="O40" s="6"/>
    </row>
    <row r="41" spans="1:15" s="4" customFormat="1" ht="15.75" x14ac:dyDescent="0.25">
      <c r="B41" s="7" t="s">
        <v>65</v>
      </c>
      <c r="J41" s="11">
        <f>ROUND(J40*7/100,2)</f>
        <v>53564.639999999999</v>
      </c>
      <c r="K41" s="11">
        <f>ROUND(K40*7/100,2)</f>
        <v>53316.77</v>
      </c>
      <c r="M41" s="6"/>
      <c r="N41" s="6"/>
      <c r="O41" s="6"/>
    </row>
    <row r="42" spans="1:15" s="4" customFormat="1" ht="15.75" x14ac:dyDescent="0.25">
      <c r="B42" s="8" t="s">
        <v>66</v>
      </c>
      <c r="C42" s="8"/>
      <c r="D42" s="8"/>
      <c r="J42" s="9">
        <f>SUM(J40:J41)</f>
        <v>818773.8</v>
      </c>
      <c r="K42" s="9">
        <f>SUM(K40:K41)</f>
        <v>814984.97</v>
      </c>
      <c r="M42" s="6"/>
      <c r="N42" s="6"/>
      <c r="O42" s="6"/>
    </row>
    <row r="43" spans="1:15" s="4" customFormat="1" ht="15.75" x14ac:dyDescent="0.25">
      <c r="B43" s="17"/>
      <c r="C43" s="17"/>
      <c r="D43" s="17"/>
      <c r="J43" s="9"/>
      <c r="K43" s="9"/>
      <c r="M43" s="6"/>
      <c r="N43" s="6"/>
      <c r="O43" s="6"/>
    </row>
    <row r="44" spans="1:15" s="4" customFormat="1" ht="15.75" x14ac:dyDescent="0.25">
      <c r="A44" s="7" t="s">
        <v>67</v>
      </c>
      <c r="B44" s="17" t="s">
        <v>68</v>
      </c>
      <c r="C44" s="17"/>
      <c r="D44" s="17"/>
      <c r="J44" s="9">
        <f>8220*12</f>
        <v>98640</v>
      </c>
      <c r="K44" s="9">
        <f>43142.35+36725.35+32118.55+45203.08</f>
        <v>157189.33000000002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4" customFormat="1" ht="15.75" x14ac:dyDescent="0.25">
      <c r="B46" s="17" t="s">
        <v>69</v>
      </c>
      <c r="C46" s="17"/>
      <c r="D46" s="17"/>
      <c r="J46" s="9">
        <f>J42+J44</f>
        <v>917413.8</v>
      </c>
      <c r="K46" s="9">
        <f>K44+K42</f>
        <v>972174.3</v>
      </c>
      <c r="M46" s="6"/>
      <c r="N46" s="6"/>
      <c r="O46" s="6"/>
    </row>
    <row r="47" spans="1:15" s="7" customFormat="1" ht="15.75" x14ac:dyDescent="0.25">
      <c r="A47" s="8" t="s">
        <v>70</v>
      </c>
      <c r="B47" s="8"/>
      <c r="C47" s="8"/>
      <c r="D47" s="8"/>
      <c r="J47" s="9"/>
      <c r="K47" s="9">
        <f>224082.87+224082.87+225778.32+225778.32</f>
        <v>899722.38000000012</v>
      </c>
      <c r="M47" s="18"/>
      <c r="N47" s="18"/>
      <c r="O47" s="18"/>
    </row>
    <row r="48" spans="1:15" s="7" customFormat="1" ht="15.75" x14ac:dyDescent="0.25">
      <c r="A48" s="8" t="s">
        <v>71</v>
      </c>
      <c r="B48" s="8"/>
      <c r="C48" s="8"/>
      <c r="D48" s="8"/>
      <c r="E48" s="8"/>
      <c r="F48" s="8"/>
      <c r="J48" s="9"/>
      <c r="K48" s="9">
        <f>206131.51+209001.56+212795.23+219081.23</f>
        <v>847009.53</v>
      </c>
      <c r="M48" s="18"/>
      <c r="N48" s="18"/>
      <c r="O48" s="18"/>
    </row>
    <row r="49" spans="1:15" s="4" customFormat="1" ht="15.75" x14ac:dyDescent="0.25">
      <c r="A49" s="7" t="s">
        <v>72</v>
      </c>
      <c r="K49" s="19">
        <f>10695.49+3341.11+3147.31+11088.47</f>
        <v>28272.379999999997</v>
      </c>
      <c r="M49" s="6"/>
      <c r="N49" s="6"/>
      <c r="O49" s="6"/>
    </row>
    <row r="50" spans="1:15" s="4" customFormat="1" ht="15.75" x14ac:dyDescent="0.25">
      <c r="A50" s="7" t="s">
        <v>73</v>
      </c>
      <c r="K50" s="20">
        <f>K48+K49-K42</f>
        <v>60296.940000000061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74</v>
      </c>
      <c r="J52" s="4" t="s">
        <v>75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76</v>
      </c>
      <c r="I54" s="21"/>
      <c r="J54" s="4" t="s">
        <v>77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19">
    <mergeCell ref="A48:F48"/>
    <mergeCell ref="C24:G24"/>
    <mergeCell ref="C25:F25"/>
    <mergeCell ref="B34:E34"/>
    <mergeCell ref="B36:F36"/>
    <mergeCell ref="B42:D42"/>
    <mergeCell ref="A47:D47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2021-03-26T10:34:52Z</dcterms:created>
  <dcterms:modified xsi:type="dcterms:W3CDTF">2021-03-26T10:34:54Z</dcterms:modified>
</cp:coreProperties>
</file>