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31 &quot;А&quot;Аэрофло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6" i="1"/>
  <c r="J4" i="1" s="1"/>
  <c r="J7" i="1"/>
  <c r="K7" i="1"/>
  <c r="J8" i="1"/>
  <c r="K8" i="1"/>
  <c r="K10" i="1"/>
  <c r="J11" i="1"/>
  <c r="J10" i="1" s="1"/>
  <c r="K11" i="1"/>
  <c r="J12" i="1"/>
  <c r="K12" i="1"/>
  <c r="J13" i="1"/>
  <c r="K13" i="1"/>
  <c r="J14" i="1"/>
  <c r="K14" i="1"/>
  <c r="J15" i="1"/>
  <c r="J16" i="1"/>
  <c r="J18" i="1"/>
  <c r="J17" i="1" s="1"/>
  <c r="K18" i="1"/>
  <c r="J19" i="1"/>
  <c r="K19" i="1"/>
  <c r="K17" i="1" s="1"/>
  <c r="J20" i="1"/>
  <c r="K20" i="1"/>
  <c r="J22" i="1"/>
  <c r="K22" i="1"/>
  <c r="K23" i="1"/>
  <c r="K24" i="1"/>
  <c r="K25" i="1"/>
  <c r="J33" i="1"/>
  <c r="K33" i="1"/>
  <c r="K34" i="1"/>
  <c r="J35" i="1"/>
  <c r="K35" i="1"/>
  <c r="J37" i="1"/>
  <c r="K37" i="1"/>
  <c r="J43" i="1"/>
  <c r="K43" i="1"/>
  <c r="K46" i="1"/>
  <c r="K47" i="1"/>
  <c r="J39" i="1" l="1"/>
  <c r="K6" i="1"/>
  <c r="K4" i="1" s="1"/>
  <c r="K39" i="1" s="1"/>
  <c r="K40" i="1" l="1"/>
  <c r="K41" i="1" s="1"/>
  <c r="J40" i="1"/>
  <c r="J41" i="1" s="1"/>
  <c r="J45" i="1" s="1"/>
  <c r="K45" i="1" l="1"/>
  <c r="K49" i="1"/>
</calcChain>
</file>

<file path=xl/sharedStrings.xml><?xml version="1.0" encoding="utf-8"?>
<sst xmlns="http://schemas.openxmlformats.org/spreadsheetml/2006/main" count="75" uniqueCount="75">
  <si>
    <t>Шишков К.А.</t>
  </si>
  <si>
    <t>Председатель ЖСК "Аэрофлот"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</si>
  <si>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</si>
  <si>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</si>
  <si>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</si>
  <si>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</si>
  <si>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</si>
  <si>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</si>
  <si>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</si>
  <si>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</si>
  <si>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8.</t>
  </si>
  <si>
    <t>Всего:</t>
  </si>
  <si>
    <t>Рентабельность</t>
  </si>
  <si>
    <t>Итого:</t>
  </si>
  <si>
    <t>Внеэксплуатационные расходы:</t>
  </si>
  <si>
    <t>7.</t>
  </si>
  <si>
    <t>Общеэксплуатационные расходы:</t>
  </si>
  <si>
    <t>6.</t>
  </si>
  <si>
    <t>в том числе вознаграждение председ. правл. ЖСК</t>
  </si>
  <si>
    <t>Прочие прямые затраты:</t>
  </si>
  <si>
    <t>5.</t>
  </si>
  <si>
    <t>Пусконаладка узла учета теплоэнерг</t>
  </si>
  <si>
    <t>4.7.</t>
  </si>
  <si>
    <t xml:space="preserve">Обследование вентиляции </t>
  </si>
  <si>
    <t>4.6.</t>
  </si>
  <si>
    <t>Ремонт отливов балк.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</si>
  <si>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</si>
  <si>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</si>
  <si>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</si>
  <si>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</si>
  <si>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</si>
  <si>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</si>
  <si>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</si>
  <si>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Ф-2)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</si>
  <si>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</si>
  <si>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</si>
  <si>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</si>
  <si>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</si>
  <si>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</si>
  <si>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</si>
  <si>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</si>
  <si>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</si>
  <si>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</si>
  <si>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</si>
  <si>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</si>
  <si>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</si>
  <si>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</si>
  <si>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</si>
  <si>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</si>
  <si>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</si>
  <si>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</si>
  <si>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</si>
  <si>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</si>
  <si>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</si>
  <si>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</si>
  <si>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</si>
  <si>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</si>
  <si>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</si>
  <si>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</si>
  <si>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</si>
  <si>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</si>
  <si>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</si>
  <si>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</si>
  <si>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</si>
  <si>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</si>
  <si>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</si>
  <si>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</si>
  <si>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</si>
  <si>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</si>
  <si>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</si>
  <si>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</si>
  <si>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</si>
  <si>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</si>
  <si>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ЖСК "Аэрофлот", ул. Зубковой д. 31 "А"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</si>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</sst>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64" fontId="3" fillId="0" borderId="0" xfId="0" applyNumberFormat="1" applyFont="1" applyBorder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topLeftCell="A16" workbookViewId="0">
      <selection activeCell="K48" sqref="K48"/>
    </sheetView>
  </sheetViews>
  <sheetFormatPr defaultRowHeight="12.75" x14ac:dyDescent="0.2"/>
  <cols>
    <col min="1" max="1" width="2.42578125" customWidth="1"/>
    <col min="2" max="2" width="4.140625" customWidth="1"/>
    <col min="3" max="7" width="8.5703125" customWidth="1"/>
    <col min="8" max="8" width="7.42578125" customWidth="1"/>
    <col min="9" max="9" width="1.140625" customWidth="1"/>
    <col min="10" max="11" width="17.7109375" customWidth="1"/>
    <col min="12" max="12" width="3" customWidth="1"/>
    <col min="13" max="13" width="26.140625" style="1" customWidth="1"/>
    <col min="14" max="14" width="15.85546875" style="1" customWidth="1"/>
    <col min="15" max="15" width="12" style="1" customWidth="1"/>
    <col min="16" max="16" width="13.7109375" customWidth="1"/>
  </cols>
  <sheetData>
    <row r="1" spans="1:15" s="21" customFormat="1" ht="18" x14ac:dyDescent="0.25">
      <c r="A1" s="23" t="s">
        <v>74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73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72</v>
      </c>
      <c r="K3" s="20" t="s">
        <v>71</v>
      </c>
      <c r="M3" s="3"/>
      <c r="N3" s="3"/>
      <c r="O3" s="3"/>
    </row>
    <row r="4" spans="1:15" s="2" customFormat="1" ht="15.75" x14ac:dyDescent="0.25">
      <c r="A4" s="7" t="s">
        <v>70</v>
      </c>
      <c r="B4" s="12" t="s">
        <v>69</v>
      </c>
      <c r="C4" s="12"/>
      <c r="D4" s="12"/>
      <c r="E4" s="12"/>
      <c r="F4" s="12"/>
      <c r="G4" s="12"/>
      <c r="H4" s="12"/>
      <c r="J4" s="11">
        <f>SUM(J5:J8)</f>
        <v>450813.48</v>
      </c>
      <c r="K4" s="11">
        <f>SUM(K5:K8)</f>
        <v>473851.12999999995</v>
      </c>
      <c r="M4" s="3"/>
      <c r="N4" s="3"/>
      <c r="O4" s="3"/>
    </row>
    <row r="5" spans="1:15" s="2" customFormat="1" ht="15" x14ac:dyDescent="0.2">
      <c r="B5" s="2" t="s">
        <v>68</v>
      </c>
      <c r="C5" s="17" t="s">
        <v>67</v>
      </c>
      <c r="D5" s="17"/>
      <c r="E5" s="17"/>
      <c r="F5" s="17"/>
      <c r="J5" s="13">
        <f>26145*12</f>
        <v>313740</v>
      </c>
      <c r="K5" s="13">
        <f>86165.23+92568.17+78453.28+81424.54</f>
        <v>338611.22</v>
      </c>
      <c r="M5" s="3"/>
      <c r="N5" s="3"/>
      <c r="O5" s="3"/>
    </row>
    <row r="6" spans="1:15" s="2" customFormat="1" ht="15" x14ac:dyDescent="0.2">
      <c r="B6" s="2" t="s">
        <v>66</v>
      </c>
      <c r="C6" s="17" t="s">
        <v>65</v>
      </c>
      <c r="D6" s="17"/>
      <c r="E6" s="17"/>
      <c r="F6" s="17"/>
      <c r="J6" s="19">
        <f>ROUND(J5*30.2/100,2)</f>
        <v>94749.48</v>
      </c>
      <c r="K6" s="19">
        <f>ROUND(K5*30.2/100,2)</f>
        <v>102260.59</v>
      </c>
      <c r="M6" s="18"/>
    </row>
    <row r="7" spans="1:15" s="2" customFormat="1" ht="15" x14ac:dyDescent="0.2">
      <c r="B7" s="2" t="s">
        <v>64</v>
      </c>
      <c r="C7" s="17" t="s">
        <v>63</v>
      </c>
      <c r="D7" s="17"/>
      <c r="E7" s="17"/>
      <c r="J7" s="13">
        <f>1603*12</f>
        <v>19236</v>
      </c>
      <c r="K7" s="13">
        <f>1965.35+4332.02+2469.49+3421.62</f>
        <v>12188.48</v>
      </c>
      <c r="M7" s="3"/>
      <c r="N7" s="3"/>
      <c r="O7" s="3"/>
    </row>
    <row r="8" spans="1:15" s="2" customFormat="1" ht="15" x14ac:dyDescent="0.2">
      <c r="B8" s="2" t="s">
        <v>62</v>
      </c>
      <c r="C8" s="2" t="s">
        <v>61</v>
      </c>
      <c r="J8" s="13">
        <f>1924*12</f>
        <v>23088</v>
      </c>
      <c r="K8" s="13">
        <f>3112.11+5295.15+3101.27+9282.31</f>
        <v>20790.84</v>
      </c>
      <c r="M8" s="3"/>
      <c r="N8" s="3"/>
      <c r="O8" s="3"/>
    </row>
    <row r="9" spans="1:15" s="2" customFormat="1" ht="15" x14ac:dyDescent="0.2">
      <c r="J9" s="13"/>
      <c r="K9" s="13"/>
      <c r="M9" s="3"/>
      <c r="N9" s="3"/>
      <c r="O9" s="3"/>
    </row>
    <row r="10" spans="1:15" s="2" customFormat="1" ht="15.75" x14ac:dyDescent="0.25">
      <c r="A10" s="7" t="s">
        <v>60</v>
      </c>
      <c r="B10" s="12" t="s">
        <v>59</v>
      </c>
      <c r="C10" s="12"/>
      <c r="D10" s="12"/>
      <c r="E10" s="12"/>
      <c r="F10" s="12"/>
      <c r="J10" s="11">
        <f>SUM(J11:J16)</f>
        <v>170376</v>
      </c>
      <c r="K10" s="11">
        <f>SUM(K11:K16)</f>
        <v>159138.39000000001</v>
      </c>
      <c r="M10" s="3"/>
      <c r="N10" s="3"/>
      <c r="O10" s="3"/>
    </row>
    <row r="11" spans="1:15" s="2" customFormat="1" ht="15" x14ac:dyDescent="0.2">
      <c r="B11" s="2" t="s">
        <v>58</v>
      </c>
      <c r="C11" s="17" t="s">
        <v>57</v>
      </c>
      <c r="D11" s="17"/>
      <c r="E11" s="17"/>
      <c r="F11" s="17"/>
      <c r="J11" s="13">
        <f>520*12</f>
        <v>6240</v>
      </c>
      <c r="K11" s="13">
        <f>1594.56+1626.39+1626.39+1626.39</f>
        <v>6473.7300000000005</v>
      </c>
      <c r="M11" s="3"/>
      <c r="N11" s="3"/>
      <c r="O11" s="3"/>
    </row>
    <row r="12" spans="1:15" s="2" customFormat="1" ht="15" x14ac:dyDescent="0.2">
      <c r="B12" s="2" t="s">
        <v>56</v>
      </c>
      <c r="C12" s="17" t="s">
        <v>55</v>
      </c>
      <c r="D12" s="17"/>
      <c r="E12" s="17"/>
      <c r="F12" s="17"/>
      <c r="G12" s="17"/>
      <c r="H12" s="17"/>
      <c r="J12" s="13">
        <f>6974*12</f>
        <v>83688</v>
      </c>
      <c r="K12" s="13">
        <f>19971.77+19941+23188.49+20883.4</f>
        <v>83984.66</v>
      </c>
      <c r="M12" s="3"/>
      <c r="N12" s="3"/>
      <c r="O12" s="3"/>
    </row>
    <row r="13" spans="1:15" s="2" customFormat="1" ht="15" x14ac:dyDescent="0.2">
      <c r="B13" s="2" t="s">
        <v>54</v>
      </c>
      <c r="C13" s="17" t="s">
        <v>53</v>
      </c>
      <c r="D13" s="17"/>
      <c r="E13" s="17"/>
      <c r="F13" s="17"/>
      <c r="J13" s="13">
        <f>6183*12</f>
        <v>74196</v>
      </c>
      <c r="K13" s="13">
        <f>68680</f>
        <v>68680</v>
      </c>
      <c r="M13" s="3"/>
      <c r="N13" s="3"/>
      <c r="O13" s="3"/>
    </row>
    <row r="14" spans="1:15" s="2" customFormat="1" ht="15" x14ac:dyDescent="0.2">
      <c r="B14" s="2" t="s">
        <v>52</v>
      </c>
      <c r="C14" s="16" t="s">
        <v>51</v>
      </c>
      <c r="D14" s="16"/>
      <c r="E14" s="16"/>
      <c r="F14" s="16"/>
      <c r="J14" s="13">
        <f>439*12</f>
        <v>5268</v>
      </c>
      <c r="K14" s="13">
        <f>0</f>
        <v>0</v>
      </c>
    </row>
    <row r="15" spans="1:15" s="2" customFormat="1" ht="15" x14ac:dyDescent="0.2">
      <c r="B15" s="2" t="s">
        <v>50</v>
      </c>
      <c r="C15" s="16" t="s">
        <v>49</v>
      </c>
      <c r="D15" s="16"/>
      <c r="E15" s="16"/>
      <c r="F15" s="16"/>
      <c r="J15" s="13">
        <f>0</f>
        <v>0</v>
      </c>
      <c r="K15" s="13">
        <v>0</v>
      </c>
      <c r="M15" s="3"/>
      <c r="N15" s="3"/>
      <c r="O15" s="3"/>
    </row>
    <row r="16" spans="1:15" s="2" customFormat="1" ht="15" x14ac:dyDescent="0.2">
      <c r="B16" s="2" t="s">
        <v>48</v>
      </c>
      <c r="C16" s="16" t="s">
        <v>47</v>
      </c>
      <c r="D16" s="16"/>
      <c r="E16" s="16"/>
      <c r="F16" s="16"/>
      <c r="J16" s="13">
        <f>82*12</f>
        <v>984</v>
      </c>
      <c r="K16" s="13"/>
    </row>
    <row r="17" spans="1:15" s="2" customFormat="1" ht="15.75" x14ac:dyDescent="0.25">
      <c r="A17" s="7" t="s">
        <v>46</v>
      </c>
      <c r="B17" s="12" t="s">
        <v>45</v>
      </c>
      <c r="C17" s="12"/>
      <c r="D17" s="12"/>
      <c r="E17" s="12"/>
      <c r="F17" s="12"/>
      <c r="G17" s="12"/>
      <c r="H17" s="12"/>
      <c r="J17" s="11">
        <f>SUM(J18:J21)</f>
        <v>456312</v>
      </c>
      <c r="K17" s="11">
        <f>SUM(K18:K21)</f>
        <v>506465.18</v>
      </c>
      <c r="M17" s="3"/>
      <c r="N17" s="3"/>
      <c r="O17" s="3"/>
    </row>
    <row r="18" spans="1:15" s="2" customFormat="1" ht="15" x14ac:dyDescent="0.2">
      <c r="B18" s="16" t="s">
        <v>44</v>
      </c>
      <c r="C18" s="17" t="s">
        <v>43</v>
      </c>
      <c r="D18" s="17"/>
      <c r="E18" s="17"/>
      <c r="F18" s="17"/>
      <c r="G18" s="17"/>
      <c r="J18" s="13">
        <f>35063*12</f>
        <v>420756</v>
      </c>
      <c r="K18" s="13">
        <f>89160.18+105189+105189+105189+69629</f>
        <v>474356.18</v>
      </c>
      <c r="M18" s="3"/>
      <c r="N18" s="3"/>
      <c r="O18" s="3"/>
    </row>
    <row r="19" spans="1:15" s="2" customFormat="1" ht="15" x14ac:dyDescent="0.2">
      <c r="B19" s="16" t="s">
        <v>42</v>
      </c>
      <c r="C19" s="17" t="s">
        <v>41</v>
      </c>
      <c r="D19" s="17"/>
      <c r="E19" s="17"/>
      <c r="F19" s="17"/>
      <c r="G19" s="17"/>
      <c r="H19" s="17"/>
      <c r="J19" s="13">
        <f>2588*12</f>
        <v>31056</v>
      </c>
      <c r="K19" s="13">
        <f>31059</f>
        <v>31059</v>
      </c>
      <c r="M19" s="3"/>
      <c r="N19" s="3"/>
      <c r="O19" s="3"/>
    </row>
    <row r="20" spans="1:15" s="2" customFormat="1" ht="15" x14ac:dyDescent="0.2">
      <c r="B20" s="2" t="s">
        <v>40</v>
      </c>
      <c r="C20" s="2" t="s">
        <v>39</v>
      </c>
      <c r="J20" s="13">
        <f>375*12</f>
        <v>4500</v>
      </c>
      <c r="K20" s="13">
        <f>150*7</f>
        <v>1050</v>
      </c>
      <c r="M20" s="3"/>
      <c r="N20" s="3"/>
      <c r="O20" s="3"/>
    </row>
    <row r="21" spans="1:15" s="2" customFormat="1" ht="15" x14ac:dyDescent="0.2">
      <c r="B21" s="2" t="s">
        <v>38</v>
      </c>
      <c r="C21" s="2" t="s">
        <v>37</v>
      </c>
      <c r="J21" s="13"/>
      <c r="K21" s="13"/>
      <c r="M21" s="3"/>
      <c r="N21" s="3"/>
      <c r="O21" s="3"/>
    </row>
    <row r="22" spans="1:15" s="2" customFormat="1" ht="15.75" x14ac:dyDescent="0.25">
      <c r="A22" s="7" t="s">
        <v>36</v>
      </c>
      <c r="B22" s="14" t="s">
        <v>35</v>
      </c>
      <c r="C22" s="14"/>
      <c r="D22" s="14"/>
      <c r="J22" s="11">
        <f>51040*12</f>
        <v>612480</v>
      </c>
      <c r="K22" s="11">
        <f>SUM(K23:K28)</f>
        <v>900051.60999999987</v>
      </c>
      <c r="M22" s="3"/>
      <c r="N22" s="3"/>
      <c r="O22" s="3"/>
    </row>
    <row r="23" spans="1:15" s="2" customFormat="1" ht="15" x14ac:dyDescent="0.2">
      <c r="B23" s="2" t="s">
        <v>34</v>
      </c>
      <c r="C23" s="17" t="s">
        <v>33</v>
      </c>
      <c r="D23" s="17"/>
      <c r="J23" s="13"/>
      <c r="K23" s="13">
        <f>44337.52+5523.15+276974.35+300282.75</f>
        <v>627117.77</v>
      </c>
      <c r="M23" s="3"/>
      <c r="N23" s="3"/>
      <c r="O23" s="3"/>
    </row>
    <row r="24" spans="1:15" s="2" customFormat="1" ht="15" x14ac:dyDescent="0.2">
      <c r="B24" s="2" t="s">
        <v>32</v>
      </c>
      <c r="C24" s="17" t="s">
        <v>31</v>
      </c>
      <c r="D24" s="17"/>
      <c r="E24" s="17"/>
      <c r="F24" s="17"/>
      <c r="G24" s="17"/>
      <c r="J24" s="13"/>
      <c r="K24" s="13">
        <f>41682.55+43361.69+28787.65+38444.55</f>
        <v>152276.44</v>
      </c>
      <c r="M24" s="3"/>
      <c r="N24" s="3"/>
      <c r="O24" s="3"/>
    </row>
    <row r="25" spans="1:15" s="2" customFormat="1" ht="15" x14ac:dyDescent="0.2">
      <c r="B25" s="2" t="s">
        <v>30</v>
      </c>
      <c r="C25" s="17" t="s">
        <v>29</v>
      </c>
      <c r="D25" s="17"/>
      <c r="E25" s="17"/>
      <c r="F25" s="17"/>
      <c r="G25" s="17"/>
      <c r="H25" s="17"/>
      <c r="J25" s="13"/>
      <c r="K25" s="13">
        <f>17633.59+20912.79+20731.17+18963.84</f>
        <v>78241.39</v>
      </c>
      <c r="M25" s="3"/>
      <c r="N25" s="3"/>
      <c r="O25" s="3"/>
    </row>
    <row r="26" spans="1:15" s="2" customFormat="1" ht="15" x14ac:dyDescent="0.2">
      <c r="B26" s="2" t="s">
        <v>28</v>
      </c>
      <c r="C26" s="16" t="s">
        <v>27</v>
      </c>
      <c r="D26" s="15"/>
      <c r="E26" s="15"/>
      <c r="F26" s="16"/>
      <c r="G26" s="16"/>
      <c r="H26" s="16"/>
      <c r="J26" s="13"/>
      <c r="K26" s="13">
        <v>15459.44</v>
      </c>
      <c r="M26" s="3"/>
      <c r="N26" s="3"/>
      <c r="O26" s="3"/>
    </row>
    <row r="27" spans="1:15" s="2" customFormat="1" ht="15" x14ac:dyDescent="0.2">
      <c r="B27" s="2" t="s">
        <v>26</v>
      </c>
      <c r="C27" s="16" t="s">
        <v>25</v>
      </c>
      <c r="D27" s="16"/>
      <c r="E27" s="16"/>
      <c r="F27" s="16"/>
      <c r="G27" s="15"/>
      <c r="H27" s="15"/>
      <c r="J27" s="13"/>
      <c r="K27" s="13">
        <v>6000</v>
      </c>
    </row>
    <row r="28" spans="1:15" s="2" customFormat="1" ht="15" x14ac:dyDescent="0.2">
      <c r="B28" s="2" t="s">
        <v>24</v>
      </c>
      <c r="C28" s="16" t="s">
        <v>23</v>
      </c>
      <c r="D28" s="16"/>
      <c r="E28" s="16"/>
      <c r="F28" s="16"/>
      <c r="G28" s="15"/>
      <c r="H28" s="15"/>
      <c r="J28" s="13"/>
      <c r="K28" s="13">
        <v>20956.57</v>
      </c>
    </row>
    <row r="29" spans="1:15" s="2" customFormat="1" ht="15" x14ac:dyDescent="0.2">
      <c r="B29" s="2" t="s">
        <v>22</v>
      </c>
      <c r="C29" s="16" t="s">
        <v>21</v>
      </c>
      <c r="D29" s="16"/>
      <c r="E29" s="16"/>
      <c r="F29" s="16"/>
      <c r="G29" s="15"/>
      <c r="H29" s="15"/>
      <c r="J29" s="13"/>
      <c r="K29" s="13">
        <v>7000</v>
      </c>
    </row>
    <row r="30" spans="1:15" s="2" customFormat="1" ht="15" x14ac:dyDescent="0.2">
      <c r="C30" s="16"/>
      <c r="D30" s="16"/>
      <c r="E30" s="16"/>
      <c r="F30" s="16"/>
      <c r="G30" s="15"/>
      <c r="H30" s="15"/>
      <c r="J30" s="13"/>
      <c r="K30" s="13"/>
    </row>
    <row r="32" spans="1:15" s="2" customFormat="1" ht="15" x14ac:dyDescent="0.2">
      <c r="C32" s="16"/>
      <c r="D32" s="16"/>
      <c r="E32" s="16"/>
      <c r="F32" s="16"/>
      <c r="G32" s="15"/>
      <c r="H32" s="15"/>
      <c r="J32" s="13"/>
      <c r="K32" s="13"/>
    </row>
    <row r="33" spans="1:15" s="2" customFormat="1" ht="15.75" x14ac:dyDescent="0.25">
      <c r="A33" s="7" t="s">
        <v>20</v>
      </c>
      <c r="B33" s="12" t="s">
        <v>19</v>
      </c>
      <c r="C33" s="12"/>
      <c r="D33" s="12"/>
      <c r="E33" s="12"/>
      <c r="J33" s="11">
        <f>44840*12</f>
        <v>538080</v>
      </c>
      <c r="K33" s="11">
        <f>85103.61+100723.74+64624.55+68913.43</f>
        <v>319365.33</v>
      </c>
      <c r="M33" s="3"/>
      <c r="N33" s="3"/>
      <c r="O33" s="3"/>
    </row>
    <row r="34" spans="1:15" s="2" customFormat="1" ht="15" x14ac:dyDescent="0.2">
      <c r="B34" s="2" t="s">
        <v>18</v>
      </c>
      <c r="J34" s="13"/>
      <c r="K34" s="13">
        <f>14322*12</f>
        <v>171864</v>
      </c>
      <c r="M34" s="3"/>
      <c r="N34" s="3"/>
      <c r="O34" s="3"/>
    </row>
    <row r="35" spans="1:15" s="2" customFormat="1" ht="15.75" x14ac:dyDescent="0.25">
      <c r="A35" s="7" t="s">
        <v>17</v>
      </c>
      <c r="B35" s="14" t="s">
        <v>16</v>
      </c>
      <c r="C35" s="14"/>
      <c r="D35" s="14"/>
      <c r="E35" s="14"/>
      <c r="F35" s="14"/>
      <c r="J35" s="11">
        <f>71860*12</f>
        <v>862320</v>
      </c>
      <c r="K35" s="11">
        <f>180510.07+182966.93+175130.8+161107.22</f>
        <v>699715.02</v>
      </c>
      <c r="M35" s="3"/>
      <c r="N35" s="3"/>
      <c r="O35" s="3"/>
    </row>
    <row r="36" spans="1:15" s="2" customFormat="1" ht="15" x14ac:dyDescent="0.2">
      <c r="J36" s="13"/>
      <c r="K36" s="13"/>
      <c r="M36" s="3"/>
      <c r="N36" s="3"/>
      <c r="O36" s="3"/>
    </row>
    <row r="37" spans="1:15" s="2" customFormat="1" ht="15.75" x14ac:dyDescent="0.25">
      <c r="A37" s="7" t="s">
        <v>15</v>
      </c>
      <c r="B37" s="7" t="s">
        <v>14</v>
      </c>
      <c r="J37" s="11">
        <f>4880*12</f>
        <v>58560</v>
      </c>
      <c r="K37" s="11">
        <f>52902.4+575.63</f>
        <v>53478.03</v>
      </c>
      <c r="M37" s="3"/>
      <c r="N37" s="3"/>
      <c r="O37" s="3"/>
    </row>
    <row r="38" spans="1:15" s="2" customFormat="1" ht="15.75" x14ac:dyDescent="0.25">
      <c r="A38" s="7"/>
      <c r="B38" s="7"/>
      <c r="J38" s="11"/>
      <c r="K38" s="11"/>
      <c r="M38" s="3"/>
      <c r="N38" s="3"/>
      <c r="O38" s="3"/>
    </row>
    <row r="39" spans="1:15" s="2" customFormat="1" ht="15.75" x14ac:dyDescent="0.25">
      <c r="B39" s="7" t="s">
        <v>13</v>
      </c>
      <c r="J39" s="11">
        <f>J4+J10+J17+J22+J33+J35+J37</f>
        <v>3148941.48</v>
      </c>
      <c r="K39" s="11">
        <f>K4+K10+K17+K22+K33+K35+K37</f>
        <v>3112064.6899999995</v>
      </c>
      <c r="M39" s="3"/>
      <c r="N39" s="3"/>
      <c r="O39" s="3"/>
    </row>
    <row r="40" spans="1:15" s="2" customFormat="1" ht="15.75" x14ac:dyDescent="0.25">
      <c r="B40" s="7" t="s">
        <v>12</v>
      </c>
      <c r="J40" s="13">
        <f>ROUND(J39*7/100,2)</f>
        <v>220425.9</v>
      </c>
      <c r="K40" s="13">
        <f>ROUND(K39*7/100,2)</f>
        <v>217844.53</v>
      </c>
      <c r="M40" s="3"/>
      <c r="N40" s="3"/>
      <c r="O40" s="3"/>
    </row>
    <row r="41" spans="1:15" s="2" customFormat="1" ht="15.75" x14ac:dyDescent="0.25">
      <c r="B41" s="12" t="s">
        <v>11</v>
      </c>
      <c r="C41" s="12"/>
      <c r="D41" s="12"/>
      <c r="J41" s="11">
        <f>SUM(J39:J40)</f>
        <v>3369367.38</v>
      </c>
      <c r="K41" s="11">
        <f>SUM(K39:K40)</f>
        <v>3329909.2199999993</v>
      </c>
      <c r="M41" s="3"/>
      <c r="N41" s="3"/>
      <c r="O41" s="3"/>
    </row>
    <row r="42" spans="1:15" s="2" customFormat="1" ht="15.75" x14ac:dyDescent="0.25">
      <c r="B42" s="10"/>
      <c r="C42" s="10"/>
      <c r="D42" s="10"/>
      <c r="J42" s="11"/>
      <c r="K42" s="11"/>
      <c r="M42" s="3"/>
      <c r="N42" s="3"/>
      <c r="O42" s="3"/>
    </row>
    <row r="43" spans="1:15" s="2" customFormat="1" ht="15.75" x14ac:dyDescent="0.25">
      <c r="A43" s="7" t="s">
        <v>10</v>
      </c>
      <c r="B43" s="10" t="s">
        <v>9</v>
      </c>
      <c r="C43" s="10"/>
      <c r="D43" s="10"/>
      <c r="J43" s="11">
        <f>40790*12</f>
        <v>489480</v>
      </c>
      <c r="K43" s="11">
        <f>122364.24+122364.24+123449.59+126450.91</f>
        <v>494628.98</v>
      </c>
      <c r="M43" s="3"/>
      <c r="N43" s="3"/>
      <c r="O43" s="3"/>
    </row>
    <row r="44" spans="1:15" s="2" customFormat="1" ht="15.75" x14ac:dyDescent="0.25">
      <c r="A44" s="7"/>
      <c r="B44" s="10"/>
      <c r="C44" s="10"/>
      <c r="D44" s="10"/>
      <c r="J44" s="11"/>
      <c r="K44" s="11"/>
      <c r="M44" s="3"/>
      <c r="N44" s="3"/>
      <c r="O44" s="3"/>
    </row>
    <row r="45" spans="1:15" s="2" customFormat="1" ht="15.75" x14ac:dyDescent="0.25">
      <c r="A45" s="7"/>
      <c r="B45" s="10" t="s">
        <v>8</v>
      </c>
      <c r="C45" s="10"/>
      <c r="D45" s="10"/>
      <c r="J45" s="11">
        <f>J43+J41</f>
        <v>3858847.38</v>
      </c>
      <c r="K45" s="11">
        <f>K43+K41</f>
        <v>3824538.1999999993</v>
      </c>
      <c r="M45" s="3"/>
      <c r="N45" s="3"/>
      <c r="O45" s="3"/>
    </row>
    <row r="46" spans="1:15" s="7" customFormat="1" ht="15.75" x14ac:dyDescent="0.25">
      <c r="A46" s="12" t="s">
        <v>7</v>
      </c>
      <c r="B46" s="12"/>
      <c r="C46" s="12"/>
      <c r="D46" s="12"/>
      <c r="J46" s="11"/>
      <c r="K46" s="11">
        <f>964802.79+964802.79+961528.78+8003.96+969532.74</f>
        <v>3868671.0600000005</v>
      </c>
      <c r="M46" s="8"/>
      <c r="N46" s="8"/>
      <c r="O46" s="8"/>
    </row>
    <row r="47" spans="1:15" s="7" customFormat="1" ht="15.75" x14ac:dyDescent="0.25">
      <c r="A47" s="12" t="s">
        <v>6</v>
      </c>
      <c r="B47" s="12"/>
      <c r="C47" s="12"/>
      <c r="D47" s="12"/>
      <c r="E47" s="12"/>
      <c r="F47" s="12"/>
      <c r="J47" s="11"/>
      <c r="K47" s="11">
        <f>3652173.96+4289.55</f>
        <v>3656463.51</v>
      </c>
      <c r="M47" s="8">
        <v>928395.81</v>
      </c>
      <c r="N47" s="8"/>
      <c r="O47" s="8"/>
    </row>
    <row r="48" spans="1:15" s="7" customFormat="1" ht="15.75" x14ac:dyDescent="0.25">
      <c r="A48" s="10" t="s">
        <v>5</v>
      </c>
      <c r="B48" s="10"/>
      <c r="C48" s="10"/>
      <c r="D48" s="10"/>
      <c r="E48" s="10"/>
      <c r="F48" s="10"/>
      <c r="J48" s="9"/>
      <c r="K48" s="9"/>
      <c r="M48" s="8"/>
      <c r="N48" s="8"/>
      <c r="O48" s="8"/>
    </row>
    <row r="49" spans="1:15" s="2" customFormat="1" ht="15.75" x14ac:dyDescent="0.25">
      <c r="A49" s="7" t="s">
        <v>4</v>
      </c>
      <c r="J49" s="4"/>
      <c r="K49" s="4">
        <f>K47+K48-K41</f>
        <v>326554.2900000005</v>
      </c>
      <c r="M49" s="3"/>
      <c r="N49" s="3"/>
      <c r="O49" s="3"/>
    </row>
    <row r="50" spans="1:15" s="2" customFormat="1" ht="15" x14ac:dyDescent="0.2">
      <c r="J50" s="4"/>
      <c r="K50" s="4"/>
      <c r="M50" s="3"/>
      <c r="N50" s="3"/>
      <c r="O50" s="3"/>
    </row>
    <row r="51" spans="1:15" s="2" customFormat="1" ht="15" x14ac:dyDescent="0.2">
      <c r="B51" s="2" t="s">
        <v>3</v>
      </c>
      <c r="J51" s="4" t="s">
        <v>2</v>
      </c>
      <c r="K51" s="4"/>
      <c r="M51" s="3"/>
      <c r="N51" s="3"/>
      <c r="O51" s="3"/>
    </row>
    <row r="52" spans="1:15" s="2" customFormat="1" ht="15" x14ac:dyDescent="0.2">
      <c r="I52" s="6"/>
      <c r="J52" s="5"/>
      <c r="K52" s="4"/>
      <c r="M52" s="3"/>
      <c r="N52" s="3"/>
      <c r="O52" s="3"/>
    </row>
    <row r="53" spans="1:15" s="2" customFormat="1" ht="15" x14ac:dyDescent="0.2">
      <c r="B53" s="2" t="s">
        <v>1</v>
      </c>
      <c r="J53" s="4" t="s">
        <v>0</v>
      </c>
      <c r="K53" s="4"/>
      <c r="M53" s="3"/>
      <c r="N53" s="3"/>
      <c r="O53" s="3"/>
    </row>
    <row r="54" spans="1:15" s="2" customFormat="1" ht="15" x14ac:dyDescent="0.2">
      <c r="J54" s="4"/>
      <c r="K54" s="4"/>
      <c r="M54" s="3"/>
      <c r="N54" s="3"/>
      <c r="O54" s="3"/>
    </row>
    <row r="55" spans="1:15" s="2" customFormat="1" ht="15" x14ac:dyDescent="0.2">
      <c r="J55" s="4"/>
      <c r="K55" s="4"/>
      <c r="M55" s="3"/>
      <c r="N55" s="3"/>
      <c r="O55" s="3"/>
    </row>
    <row r="56" spans="1:15" s="2" customFormat="1" ht="15" x14ac:dyDescent="0.2">
      <c r="J56" s="4"/>
      <c r="K56" s="4"/>
      <c r="M56" s="3"/>
      <c r="N56" s="3"/>
      <c r="O56" s="3"/>
    </row>
    <row r="57" spans="1:15" s="2" customFormat="1" ht="15" x14ac:dyDescent="0.2">
      <c r="J57" s="4"/>
      <c r="K57" s="4"/>
      <c r="M57" s="3"/>
      <c r="N57" s="3"/>
      <c r="O57" s="3"/>
    </row>
    <row r="58" spans="1:15" s="2" customFormat="1" ht="15" x14ac:dyDescent="0.2">
      <c r="J58" s="4"/>
      <c r="K58" s="4"/>
      <c r="M58" s="3"/>
      <c r="N58" s="3"/>
      <c r="O58" s="3"/>
    </row>
    <row r="59" spans="1:15" s="2" customFormat="1" ht="15" x14ac:dyDescent="0.2">
      <c r="J59" s="4"/>
      <c r="K59" s="4"/>
      <c r="M59" s="3"/>
      <c r="N59" s="3"/>
      <c r="O59" s="3"/>
    </row>
    <row r="60" spans="1:15" s="2" customFormat="1" ht="15" x14ac:dyDescent="0.2">
      <c r="J60" s="4"/>
      <c r="K60" s="4"/>
      <c r="M60" s="3"/>
      <c r="N60" s="3"/>
      <c r="O60" s="3"/>
    </row>
    <row r="61" spans="1:15" s="2" customFormat="1" ht="15" x14ac:dyDescent="0.2">
      <c r="J61" s="4"/>
      <c r="K61" s="4"/>
      <c r="M61" s="3"/>
      <c r="N61" s="3"/>
      <c r="O61" s="3"/>
    </row>
    <row r="62" spans="1:15" s="2" customFormat="1" ht="15" x14ac:dyDescent="0.2">
      <c r="J62" s="4"/>
      <c r="K62" s="4"/>
      <c r="M62" s="3"/>
      <c r="N62" s="3"/>
      <c r="O62" s="3"/>
    </row>
    <row r="63" spans="1:15" s="2" customFormat="1" ht="15" x14ac:dyDescent="0.2">
      <c r="J63" s="4"/>
      <c r="K63" s="4"/>
      <c r="M63" s="3"/>
      <c r="N63" s="3"/>
      <c r="O63" s="3"/>
    </row>
    <row r="64" spans="1:15" s="2" customFormat="1" ht="15" x14ac:dyDescent="0.2">
      <c r="J64" s="4"/>
      <c r="K64" s="4"/>
      <c r="M64" s="3"/>
      <c r="N64" s="3"/>
      <c r="O64" s="3"/>
    </row>
    <row r="65" spans="10:15" s="2" customFormat="1" ht="15" x14ac:dyDescent="0.2">
      <c r="J65" s="4"/>
      <c r="K65" s="4"/>
      <c r="M65" s="3"/>
      <c r="N65" s="3"/>
      <c r="O65" s="3"/>
    </row>
    <row r="66" spans="10:15" s="2" customFormat="1" ht="15" x14ac:dyDescent="0.2">
      <c r="J66" s="4"/>
      <c r="K66" s="4"/>
      <c r="M66" s="3"/>
      <c r="N66" s="3"/>
      <c r="O66" s="3"/>
    </row>
    <row r="67" spans="10:15" s="2" customFormat="1" ht="15" x14ac:dyDescent="0.2">
      <c r="J67" s="4"/>
      <c r="K67" s="4"/>
      <c r="M67" s="3"/>
      <c r="N67" s="3"/>
      <c r="O67" s="3"/>
    </row>
    <row r="68" spans="10:15" s="2" customFormat="1" ht="15" x14ac:dyDescent="0.2">
      <c r="J68" s="4"/>
      <c r="K68" s="4"/>
      <c r="M68" s="3"/>
      <c r="N68" s="3"/>
      <c r="O68" s="3"/>
    </row>
    <row r="69" spans="10:15" s="2" customFormat="1" ht="15" x14ac:dyDescent="0.2">
      <c r="J69" s="4"/>
      <c r="K69" s="4"/>
      <c r="M69" s="3"/>
      <c r="N69" s="3"/>
      <c r="O69" s="3"/>
    </row>
    <row r="70" spans="10:15" s="2" customFormat="1" ht="15" x14ac:dyDescent="0.2">
      <c r="J70" s="4"/>
      <c r="K70" s="4"/>
      <c r="M70" s="3"/>
      <c r="N70" s="3"/>
      <c r="O70" s="3"/>
    </row>
    <row r="71" spans="10:15" s="2" customFormat="1" ht="15" x14ac:dyDescent="0.2">
      <c r="J71" s="4"/>
      <c r="K71" s="4"/>
      <c r="M71" s="3"/>
      <c r="N71" s="3"/>
      <c r="O71" s="3"/>
    </row>
    <row r="72" spans="10:15" s="2" customFormat="1" ht="15" x14ac:dyDescent="0.2">
      <c r="J72" s="4"/>
      <c r="K72" s="4"/>
      <c r="M72" s="3"/>
      <c r="N72" s="3"/>
      <c r="O72" s="3"/>
    </row>
    <row r="73" spans="10:15" s="2" customFormat="1" ht="15" x14ac:dyDescent="0.2">
      <c r="J73" s="4"/>
      <c r="K73" s="4"/>
      <c r="M73" s="3"/>
      <c r="N73" s="3"/>
      <c r="O73" s="3"/>
    </row>
    <row r="74" spans="10:15" s="2" customFormat="1" ht="15" x14ac:dyDescent="0.2">
      <c r="J74" s="4"/>
      <c r="K74" s="4"/>
      <c r="M74" s="3"/>
      <c r="N74" s="3"/>
      <c r="O74" s="3"/>
    </row>
    <row r="75" spans="10:15" s="2" customFormat="1" ht="15" x14ac:dyDescent="0.2">
      <c r="J75" s="4"/>
      <c r="K75" s="4"/>
      <c r="M75" s="3"/>
      <c r="N75" s="3"/>
      <c r="O75" s="3"/>
    </row>
    <row r="76" spans="10:15" s="2" customFormat="1" ht="15" x14ac:dyDescent="0.2">
      <c r="J76" s="4"/>
      <c r="K76" s="4"/>
      <c r="M76" s="3"/>
      <c r="N76" s="3"/>
      <c r="O76" s="3"/>
    </row>
    <row r="77" spans="10:15" s="2" customFormat="1" ht="15" x14ac:dyDescent="0.2">
      <c r="J77" s="4"/>
      <c r="K77" s="4"/>
      <c r="M77" s="3"/>
      <c r="N77" s="3"/>
      <c r="O77" s="3"/>
    </row>
    <row r="78" spans="10:15" s="2" customFormat="1" ht="15" x14ac:dyDescent="0.2">
      <c r="J78" s="4"/>
      <c r="K78" s="4"/>
      <c r="M78" s="3"/>
      <c r="N78" s="3"/>
      <c r="O78" s="3"/>
    </row>
    <row r="79" spans="10:15" s="2" customFormat="1" ht="15" x14ac:dyDescent="0.2">
      <c r="J79" s="4"/>
      <c r="K79" s="4"/>
      <c r="M79" s="3"/>
      <c r="N79" s="3"/>
      <c r="O79" s="3"/>
    </row>
    <row r="80" spans="10:15" s="2" customFormat="1" ht="15" x14ac:dyDescent="0.2">
      <c r="J80" s="4"/>
      <c r="K80" s="4"/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</sheetData>
  <mergeCells count="20">
    <mergeCell ref="C23:D23"/>
    <mergeCell ref="C12:H12"/>
    <mergeCell ref="C18:G18"/>
    <mergeCell ref="B17:H17"/>
    <mergeCell ref="C13:F13"/>
    <mergeCell ref="A1:K1"/>
    <mergeCell ref="A2:K2"/>
    <mergeCell ref="C7:E7"/>
    <mergeCell ref="B4:H4"/>
    <mergeCell ref="C5:F5"/>
    <mergeCell ref="C11:F11"/>
    <mergeCell ref="C6:F6"/>
    <mergeCell ref="A47:F47"/>
    <mergeCell ref="B10:F10"/>
    <mergeCell ref="C24:G24"/>
    <mergeCell ref="C25:H25"/>
    <mergeCell ref="C19:H19"/>
    <mergeCell ref="A46:D46"/>
    <mergeCell ref="B33:E33"/>
    <mergeCell ref="B41:D4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2021-03-26T10:39:09Z</dcterms:created>
  <dcterms:modified xsi:type="dcterms:W3CDTF">2021-03-26T10:39:21Z</dcterms:modified>
</cp:coreProperties>
</file>