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50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K10" i="1"/>
  <c r="J11" i="1"/>
  <c r="K11" i="1"/>
  <c r="J12" i="1"/>
  <c r="J10" i="1" s="1"/>
  <c r="K12" i="1"/>
  <c r="J13" i="1"/>
  <c r="K13" i="1"/>
  <c r="J14" i="1"/>
  <c r="J16" i="1"/>
  <c r="J17" i="1"/>
  <c r="K17" i="1"/>
  <c r="J22" i="1"/>
  <c r="K22" i="1"/>
  <c r="K23" i="1"/>
  <c r="K24" i="1"/>
  <c r="K25" i="1"/>
  <c r="K29" i="1"/>
  <c r="J31" i="1"/>
  <c r="K31" i="1"/>
  <c r="J33" i="1"/>
  <c r="K33" i="1"/>
  <c r="J35" i="1"/>
  <c r="K35" i="1"/>
  <c r="J37" i="1"/>
  <c r="K37" i="1"/>
  <c r="J43" i="1"/>
  <c r="K43" i="1"/>
  <c r="K46" i="1"/>
  <c r="K47" i="1"/>
  <c r="K48" i="1"/>
  <c r="K6" i="1" l="1"/>
  <c r="K4" i="1" s="1"/>
  <c r="K39" i="1" s="1"/>
  <c r="J6" i="1"/>
  <c r="J4" i="1" s="1"/>
  <c r="J39" i="1" s="1"/>
  <c r="J40" i="1" l="1"/>
  <c r="J41" i="1" s="1"/>
  <c r="J45" i="1" s="1"/>
  <c r="K40" i="1"/>
  <c r="K41" i="1"/>
  <c r="K49" i="1" l="1"/>
  <c r="K45" i="1"/>
</calcChain>
</file>

<file path=xl/sharedStrings.xml><?xml version="1.0" encoding="utf-8"?>
<sst xmlns="http://schemas.openxmlformats.org/spreadsheetml/2006/main" count="76" uniqueCount="76">
  <si>
    <t>Рыбин А.Ю.</t>
  </si>
  <si>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</si>
  <si>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</si>
  <si>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</si>
  <si>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</si>
  <si>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</si>
  <si>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</si>
  <si>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</si>
  <si>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</si>
  <si>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</si>
  <si>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</si>
  <si>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</si>
  <si>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</si>
  <si>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</si>
  <si>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</si>
  <si>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</si>
  <si>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</si>
  <si>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</si>
  <si>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</si>
  <si>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</si>
  <si>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</si>
  <si>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</si>
  <si>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</si>
  <si>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</si>
  <si>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</si>
  <si>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</si>
  <si>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 xml:space="preserve">Обследование вентиляции </t>
  </si>
  <si>
    <t>4.6.</t>
  </si>
  <si>
    <t>Ремонт балконных козырьков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</si>
  <si>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</si>
  <si>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</si>
  <si>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</si>
  <si>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</si>
  <si>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</si>
  <si>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</si>
  <si>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</si>
  <si>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</si>
  <si>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</si>
  <si>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</si>
  <si>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</si>
  <si>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</si>
  <si>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</si>
  <si>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</si>
  <si>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</si>
  <si>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</si>
  <si>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</si>
  <si>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</si>
  <si>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</si>
  <si>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</si>
  <si>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</si>
  <si>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</si>
  <si>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</si>
  <si>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</si>
  <si>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</si>
  <si>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</si>
  <si>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</si>
  <si>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</si>
  <si>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</si>
  <si>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</si>
  <si>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</si>
  <si>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</si>
  <si>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</si>
  <si>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</si>
  <si>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</si>
  <si>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</si>
  <si>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</si>
  <si>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</si>
  <si>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</si>
  <si>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</si>
  <si>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</si>
  <si>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</si>
  <si>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</si>
  <si>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</si>
  <si>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</si>
  <si>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д.50 корп. 1 по ул. Новоселов за январь-декабрь 2020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</si>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</sst>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4" fontId="1" fillId="0" borderId="0" xfId="0" quotePrefix="1" applyNumberFormat="1" applyFont="1"/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16" workbookViewId="0">
      <selection activeCell="K48" sqref="K48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5703125" bestFit="1" customWidth="1"/>
    <col min="13" max="13" width="16.5703125" style="1" customWidth="1"/>
    <col min="14" max="14" width="12.42578125" style="1" customWidth="1"/>
    <col min="15" max="15" width="9.140625" style="1"/>
  </cols>
  <sheetData>
    <row r="1" spans="1:15" s="21" customFormat="1" ht="18" x14ac:dyDescent="0.25">
      <c r="A1" s="23" t="s">
        <v>75</v>
      </c>
      <c r="B1" s="23"/>
      <c r="C1" s="23"/>
      <c r="D1" s="23"/>
      <c r="E1" s="23"/>
      <c r="F1" s="23"/>
      <c r="G1" s="23"/>
      <c r="H1" s="23"/>
      <c r="I1" s="23"/>
      <c r="J1" s="23"/>
      <c r="K1" s="23"/>
      <c r="M1" s="22"/>
      <c r="N1" s="22"/>
      <c r="O1" s="22"/>
    </row>
    <row r="2" spans="1:15" s="21" customFormat="1" ht="18" x14ac:dyDescent="0.25">
      <c r="A2" s="23" t="s">
        <v>74</v>
      </c>
      <c r="B2" s="23"/>
      <c r="C2" s="23"/>
      <c r="D2" s="23"/>
      <c r="E2" s="23"/>
      <c r="F2" s="23"/>
      <c r="G2" s="23"/>
      <c r="H2" s="23"/>
      <c r="I2" s="23"/>
      <c r="J2" s="23"/>
      <c r="K2" s="23"/>
      <c r="M2" s="22"/>
      <c r="N2" s="22"/>
      <c r="O2" s="22"/>
    </row>
    <row r="3" spans="1:15" s="2" customFormat="1" ht="15.75" x14ac:dyDescent="0.25">
      <c r="J3" s="20" t="s">
        <v>73</v>
      </c>
      <c r="K3" s="20" t="s">
        <v>72</v>
      </c>
      <c r="M3" s="3"/>
      <c r="N3" s="3"/>
      <c r="O3" s="3"/>
    </row>
    <row r="4" spans="1:15" s="2" customFormat="1" ht="15.75" x14ac:dyDescent="0.25">
      <c r="A4" s="5" t="s">
        <v>71</v>
      </c>
      <c r="B4" s="10" t="s">
        <v>70</v>
      </c>
      <c r="C4" s="10"/>
      <c r="D4" s="10"/>
      <c r="E4" s="10"/>
      <c r="F4" s="10"/>
      <c r="G4" s="10"/>
      <c r="H4" s="10"/>
      <c r="J4" s="9">
        <f>SUM(J5:J8)</f>
        <v>175694.74</v>
      </c>
      <c r="K4" s="9">
        <f>SUM(K5:K8)</f>
        <v>151614.28999999998</v>
      </c>
      <c r="M4" s="3"/>
      <c r="N4" s="3"/>
      <c r="O4" s="3"/>
    </row>
    <row r="5" spans="1:15" s="2" customFormat="1" ht="15" x14ac:dyDescent="0.2">
      <c r="B5" s="2" t="s">
        <v>69</v>
      </c>
      <c r="C5" s="13" t="s">
        <v>68</v>
      </c>
      <c r="D5" s="13"/>
      <c r="E5" s="13"/>
      <c r="F5" s="13"/>
      <c r="J5" s="12">
        <f>10514*12</f>
        <v>126168</v>
      </c>
      <c r="K5" s="12">
        <f>26827.27+27277.69+27226.41+26686.21</f>
        <v>108017.57999999999</v>
      </c>
      <c r="M5" s="3"/>
      <c r="N5" s="3"/>
      <c r="O5" s="3"/>
    </row>
    <row r="6" spans="1:15" s="2" customFormat="1" ht="15" x14ac:dyDescent="0.2">
      <c r="B6" s="2" t="s">
        <v>67</v>
      </c>
      <c r="C6" s="16" t="s">
        <v>66</v>
      </c>
      <c r="D6" s="16"/>
      <c r="E6" s="16"/>
      <c r="F6" s="16"/>
      <c r="J6" s="19">
        <f>ROUND(J5*30.2/100,2)</f>
        <v>38102.74</v>
      </c>
      <c r="K6" s="19">
        <f>ROUND(K5*30.2/100,2)</f>
        <v>32621.31</v>
      </c>
      <c r="M6" s="18"/>
    </row>
    <row r="7" spans="1:15" s="2" customFormat="1" ht="15" x14ac:dyDescent="0.2">
      <c r="B7" s="2" t="s">
        <v>65</v>
      </c>
      <c r="C7" s="16" t="s">
        <v>64</v>
      </c>
      <c r="D7" s="16"/>
      <c r="E7" s="16"/>
      <c r="J7" s="12">
        <f>433*12</f>
        <v>5196</v>
      </c>
      <c r="K7" s="12">
        <f>1237.69+507.54+1770.51+1846.89</f>
        <v>5362.63</v>
      </c>
      <c r="M7" s="3"/>
      <c r="N7" s="3"/>
      <c r="O7" s="3"/>
    </row>
    <row r="8" spans="1:15" s="2" customFormat="1" ht="15" x14ac:dyDescent="0.2">
      <c r="B8" s="2" t="s">
        <v>63</v>
      </c>
      <c r="C8" s="2" t="s">
        <v>62</v>
      </c>
      <c r="J8" s="12">
        <f>519*12</f>
        <v>6228</v>
      </c>
      <c r="K8" s="12">
        <f>840.15+1429.5+837.23+2505.89</f>
        <v>5612.77</v>
      </c>
      <c r="M8" s="3"/>
      <c r="N8" s="3"/>
      <c r="O8" s="3"/>
    </row>
    <row r="9" spans="1:15" s="2" customFormat="1" ht="15" x14ac:dyDescent="0.2">
      <c r="J9" s="12"/>
      <c r="K9" s="12"/>
      <c r="M9" s="3"/>
      <c r="N9" s="3"/>
      <c r="O9" s="3"/>
    </row>
    <row r="10" spans="1:15" s="2" customFormat="1" ht="15.75" x14ac:dyDescent="0.25">
      <c r="A10" s="5" t="s">
        <v>61</v>
      </c>
      <c r="B10" s="10" t="s">
        <v>60</v>
      </c>
      <c r="C10" s="10"/>
      <c r="D10" s="10"/>
      <c r="E10" s="10"/>
      <c r="F10" s="10"/>
      <c r="J10" s="9">
        <f>SUM(J11:J16)</f>
        <v>52620</v>
      </c>
      <c r="K10" s="9">
        <f>SUM(K11:K16)</f>
        <v>53009.919999999998</v>
      </c>
      <c r="M10" s="3"/>
      <c r="N10" s="3"/>
      <c r="O10" s="3"/>
    </row>
    <row r="11" spans="1:15" s="2" customFormat="1" ht="15" x14ac:dyDescent="0.2">
      <c r="B11" s="2" t="s">
        <v>59</v>
      </c>
      <c r="C11" s="16" t="s">
        <v>58</v>
      </c>
      <c r="D11" s="16"/>
      <c r="E11" s="16"/>
      <c r="F11" s="16"/>
      <c r="J11" s="12">
        <f>303*12</f>
        <v>3636</v>
      </c>
      <c r="K11" s="12">
        <f>927.88+946.41+946.41+946.41</f>
        <v>3767.1099999999997</v>
      </c>
      <c r="M11" s="17"/>
      <c r="N11" s="3"/>
      <c r="O11" s="3"/>
    </row>
    <row r="12" spans="1:15" s="2" customFormat="1" ht="15" x14ac:dyDescent="0.2">
      <c r="B12" s="2" t="s">
        <v>57</v>
      </c>
      <c r="C12" s="16" t="s">
        <v>56</v>
      </c>
      <c r="D12" s="16"/>
      <c r="E12" s="16"/>
      <c r="F12" s="16"/>
      <c r="G12" s="16"/>
      <c r="H12" s="16"/>
      <c r="J12" s="12">
        <f>1883*12</f>
        <v>22596</v>
      </c>
      <c r="K12" s="12">
        <f>5391.66+5383.34+6260.05+5637.76</f>
        <v>22672.809999999998</v>
      </c>
      <c r="M12" s="3"/>
      <c r="N12" s="3"/>
      <c r="O12" s="3"/>
    </row>
    <row r="13" spans="1:15" s="2" customFormat="1" ht="15" x14ac:dyDescent="0.2">
      <c r="B13" s="2" t="s">
        <v>55</v>
      </c>
      <c r="C13" s="16" t="s">
        <v>54</v>
      </c>
      <c r="D13" s="16"/>
      <c r="E13" s="16"/>
      <c r="F13" s="16"/>
      <c r="J13" s="12">
        <f>1988*12</f>
        <v>23856</v>
      </c>
      <c r="K13" s="12">
        <f>25210+1360</f>
        <v>26570</v>
      </c>
      <c r="M13" s="3"/>
      <c r="N13" s="3"/>
      <c r="O13" s="3"/>
    </row>
    <row r="14" spans="1:15" s="2" customFormat="1" ht="15" x14ac:dyDescent="0.2">
      <c r="B14" s="2" t="s">
        <v>53</v>
      </c>
      <c r="C14" s="15" t="s">
        <v>52</v>
      </c>
      <c r="D14" s="15"/>
      <c r="E14" s="15"/>
      <c r="F14" s="15"/>
      <c r="J14" s="12">
        <f>141*12</f>
        <v>1692</v>
      </c>
      <c r="K14" s="12"/>
    </row>
    <row r="15" spans="1:15" s="2" customFormat="1" ht="15" x14ac:dyDescent="0.2">
      <c r="B15" s="2" t="s">
        <v>51</v>
      </c>
      <c r="C15" s="15" t="s">
        <v>50</v>
      </c>
      <c r="D15" s="15"/>
      <c r="E15" s="15"/>
      <c r="F15" s="15"/>
      <c r="J15" s="12">
        <v>0</v>
      </c>
      <c r="K15" s="12"/>
    </row>
    <row r="16" spans="1:15" s="2" customFormat="1" ht="15" x14ac:dyDescent="0.2">
      <c r="B16" s="2" t="s">
        <v>49</v>
      </c>
      <c r="C16" s="15" t="s">
        <v>48</v>
      </c>
      <c r="D16" s="15"/>
      <c r="E16" s="15"/>
      <c r="F16" s="15"/>
      <c r="J16" s="12">
        <f>70*12</f>
        <v>840</v>
      </c>
      <c r="K16" s="12"/>
    </row>
    <row r="17" spans="1:15" s="2" customFormat="1" ht="15.75" x14ac:dyDescent="0.25">
      <c r="A17" s="5" t="s">
        <v>47</v>
      </c>
      <c r="B17" s="10" t="s">
        <v>46</v>
      </c>
      <c r="C17" s="10"/>
      <c r="D17" s="10"/>
      <c r="E17" s="10"/>
      <c r="F17" s="10"/>
      <c r="G17" s="10"/>
      <c r="H17" s="10"/>
      <c r="J17" s="9">
        <f>SUM(J18:J20)</f>
        <v>0</v>
      </c>
      <c r="K17" s="9">
        <f>SUM(K18:K20)</f>
        <v>0</v>
      </c>
      <c r="M17" s="3"/>
      <c r="N17" s="3"/>
      <c r="O17" s="3"/>
    </row>
    <row r="18" spans="1:15" s="2" customFormat="1" ht="15" x14ac:dyDescent="0.2">
      <c r="B18" s="15" t="s">
        <v>45</v>
      </c>
      <c r="C18" s="16" t="s">
        <v>44</v>
      </c>
      <c r="D18" s="16"/>
      <c r="E18" s="16"/>
      <c r="F18" s="16"/>
      <c r="G18" s="16"/>
      <c r="J18" s="12">
        <v>0</v>
      </c>
      <c r="K18" s="12">
        <v>0</v>
      </c>
      <c r="M18" s="3"/>
      <c r="N18" s="3"/>
      <c r="O18" s="3"/>
    </row>
    <row r="19" spans="1:15" s="2" customFormat="1" ht="15" x14ac:dyDescent="0.2">
      <c r="B19" s="15" t="s">
        <v>43</v>
      </c>
      <c r="C19" s="16" t="s">
        <v>42</v>
      </c>
      <c r="D19" s="16"/>
      <c r="E19" s="16"/>
      <c r="F19" s="16"/>
      <c r="G19" s="16"/>
      <c r="H19" s="13"/>
      <c r="J19" s="12">
        <v>0</v>
      </c>
      <c r="K19" s="12">
        <v>0</v>
      </c>
      <c r="M19" s="3"/>
      <c r="N19" s="3"/>
      <c r="O19" s="3"/>
    </row>
    <row r="20" spans="1:15" s="2" customFormat="1" ht="15" x14ac:dyDescent="0.2">
      <c r="B20" s="2" t="s">
        <v>41</v>
      </c>
      <c r="C20" s="2" t="s">
        <v>40</v>
      </c>
      <c r="J20" s="12">
        <v>0</v>
      </c>
      <c r="K20" s="12">
        <v>0</v>
      </c>
      <c r="M20" s="3"/>
      <c r="N20" s="3"/>
      <c r="O20" s="3"/>
    </row>
    <row r="21" spans="1:15" s="2" customFormat="1" ht="15" x14ac:dyDescent="0.2">
      <c r="J21" s="12"/>
      <c r="K21" s="12"/>
      <c r="M21" s="3"/>
      <c r="N21" s="3"/>
      <c r="O21" s="3"/>
    </row>
    <row r="22" spans="1:15" s="2" customFormat="1" ht="15.75" x14ac:dyDescent="0.25">
      <c r="A22" s="5" t="s">
        <v>39</v>
      </c>
      <c r="B22" s="14" t="s">
        <v>38</v>
      </c>
      <c r="C22" s="14"/>
      <c r="D22" s="14"/>
      <c r="J22" s="9">
        <f>18850*12</f>
        <v>226200</v>
      </c>
      <c r="K22" s="9">
        <f>SUM(K23:K27)</f>
        <v>208282.94999999998</v>
      </c>
      <c r="M22" s="3"/>
      <c r="N22" s="3"/>
      <c r="O22" s="3"/>
    </row>
    <row r="23" spans="1:15" s="2" customFormat="1" ht="15" x14ac:dyDescent="0.2">
      <c r="B23" s="2" t="s">
        <v>37</v>
      </c>
      <c r="C23" s="13" t="s">
        <v>36</v>
      </c>
      <c r="D23" s="13"/>
      <c r="J23" s="12"/>
      <c r="K23" s="12">
        <f>3058.09+7971.47+102154.53+12555.86</f>
        <v>125739.95</v>
      </c>
      <c r="M23" s="3"/>
      <c r="N23" s="3"/>
      <c r="O23" s="3"/>
    </row>
    <row r="24" spans="1:15" s="2" customFormat="1" ht="15" x14ac:dyDescent="0.2">
      <c r="B24" s="2" t="s">
        <v>35</v>
      </c>
      <c r="C24" s="16" t="s">
        <v>34</v>
      </c>
      <c r="D24" s="16"/>
      <c r="E24" s="16"/>
      <c r="F24" s="16"/>
      <c r="G24" s="16"/>
      <c r="J24" s="12"/>
      <c r="K24" s="12">
        <f>23397.94+12322.82+12277.57+13422.34</f>
        <v>61420.67</v>
      </c>
      <c r="M24" s="3"/>
      <c r="N24" s="3"/>
      <c r="O24" s="3"/>
    </row>
    <row r="25" spans="1:15" s="2" customFormat="1" ht="15" x14ac:dyDescent="0.2">
      <c r="B25" s="2" t="s">
        <v>33</v>
      </c>
      <c r="C25" s="16" t="s">
        <v>32</v>
      </c>
      <c r="D25" s="16"/>
      <c r="E25" s="16"/>
      <c r="F25" s="16"/>
      <c r="G25" s="13"/>
      <c r="H25" s="13"/>
      <c r="J25" s="12"/>
      <c r="K25" s="12">
        <f>4760.43+5645.69+5596.66+5119.55</f>
        <v>21122.329999999998</v>
      </c>
      <c r="M25" s="3"/>
      <c r="N25" s="3"/>
      <c r="O25" s="3"/>
    </row>
    <row r="26" spans="1:15" s="2" customFormat="1" ht="15" x14ac:dyDescent="0.2">
      <c r="B26" s="2" t="s">
        <v>31</v>
      </c>
      <c r="C26" s="15" t="s">
        <v>30</v>
      </c>
      <c r="D26" s="15"/>
      <c r="E26" s="15"/>
      <c r="F26" s="15"/>
      <c r="G26" s="13"/>
      <c r="H26" s="13"/>
      <c r="J26" s="12"/>
      <c r="K26" s="12"/>
      <c r="M26" s="3"/>
      <c r="N26" s="3"/>
      <c r="O26" s="3"/>
    </row>
    <row r="27" spans="1:15" s="2" customFormat="1" ht="15" x14ac:dyDescent="0.2">
      <c r="B27" s="2" t="s">
        <v>29</v>
      </c>
      <c r="C27" s="15" t="s">
        <v>28</v>
      </c>
      <c r="D27" s="15"/>
      <c r="E27" s="15"/>
      <c r="F27" s="15"/>
      <c r="G27" s="13"/>
      <c r="H27" s="13"/>
      <c r="J27" s="12"/>
      <c r="K27" s="12"/>
      <c r="M27" s="3"/>
      <c r="N27" s="3"/>
      <c r="O27" s="3"/>
    </row>
    <row r="28" spans="1:15" s="2" customFormat="1" ht="15" x14ac:dyDescent="0.2">
      <c r="B28" s="2" t="s">
        <v>27</v>
      </c>
      <c r="C28" s="15" t="s">
        <v>26</v>
      </c>
      <c r="D28" s="15"/>
      <c r="E28" s="15"/>
      <c r="F28" s="15"/>
      <c r="G28" s="13"/>
      <c r="H28" s="13"/>
      <c r="J28" s="12"/>
      <c r="K28" s="12">
        <v>12937.48</v>
      </c>
      <c r="M28" s="3"/>
      <c r="N28" s="3"/>
      <c r="O28" s="3"/>
    </row>
    <row r="29" spans="1:15" s="2" customFormat="1" ht="15.75" x14ac:dyDescent="0.25">
      <c r="A29" s="5" t="s">
        <v>25</v>
      </c>
      <c r="B29" s="14" t="s">
        <v>24</v>
      </c>
      <c r="C29" s="14"/>
      <c r="D29" s="14"/>
      <c r="J29" s="9">
        <v>0</v>
      </c>
      <c r="K29" s="9">
        <f>K30+K31</f>
        <v>0</v>
      </c>
      <c r="M29" s="3"/>
      <c r="N29" s="3"/>
      <c r="O29" s="3"/>
    </row>
    <row r="30" spans="1:15" s="2" customFormat="1" ht="15.75" x14ac:dyDescent="0.25">
      <c r="A30" s="5"/>
      <c r="B30" s="13" t="s">
        <v>23</v>
      </c>
      <c r="C30" s="13" t="s">
        <v>22</v>
      </c>
      <c r="D30" s="13"/>
      <c r="J30" s="9">
        <v>0</v>
      </c>
      <c r="K30" s="12">
        <v>0</v>
      </c>
      <c r="M30" s="3"/>
      <c r="N30" s="3"/>
      <c r="O30" s="3"/>
    </row>
    <row r="31" spans="1:15" s="2" customFormat="1" ht="15.75" x14ac:dyDescent="0.25">
      <c r="A31" s="5"/>
      <c r="B31" s="13" t="s">
        <v>21</v>
      </c>
      <c r="C31" s="13" t="s">
        <v>20</v>
      </c>
      <c r="D31" s="13"/>
      <c r="J31" s="12">
        <f>J30*0.302</f>
        <v>0</v>
      </c>
      <c r="K31" s="12">
        <f>K30*0.302</f>
        <v>0</v>
      </c>
    </row>
    <row r="32" spans="1:15" s="2" customFormat="1" ht="15" x14ac:dyDescent="0.2">
      <c r="J32" s="12"/>
      <c r="K32" s="12"/>
      <c r="M32" s="3"/>
      <c r="N32" s="3"/>
      <c r="O32" s="3"/>
    </row>
    <row r="33" spans="1:15" s="2" customFormat="1" ht="15.75" x14ac:dyDescent="0.25">
      <c r="A33" s="5" t="s">
        <v>19</v>
      </c>
      <c r="B33" s="10" t="s">
        <v>18</v>
      </c>
      <c r="C33" s="10"/>
      <c r="D33" s="10"/>
      <c r="E33" s="10"/>
      <c r="J33" s="9">
        <f>6160*12</f>
        <v>73920</v>
      </c>
      <c r="K33" s="9">
        <f>24040.37+27203.42+16207.05+19050.95</f>
        <v>86501.79</v>
      </c>
      <c r="M33" s="3"/>
      <c r="N33" s="3"/>
      <c r="O33" s="3"/>
    </row>
    <row r="34" spans="1:15" s="2" customFormat="1" ht="15" x14ac:dyDescent="0.2">
      <c r="J34" s="12"/>
      <c r="K34" s="12"/>
      <c r="M34" s="3"/>
      <c r="N34" s="3"/>
      <c r="O34" s="3"/>
    </row>
    <row r="35" spans="1:15" s="2" customFormat="1" ht="15.75" x14ac:dyDescent="0.25">
      <c r="A35" s="5" t="s">
        <v>17</v>
      </c>
      <c r="B35" s="10" t="s">
        <v>16</v>
      </c>
      <c r="C35" s="10"/>
      <c r="D35" s="10"/>
      <c r="E35" s="10"/>
      <c r="F35" s="10"/>
      <c r="J35" s="9">
        <f>14420*12</f>
        <v>173040</v>
      </c>
      <c r="K35" s="9">
        <f>48731.16+49394.43+47278.97+43493.11</f>
        <v>188897.66999999998</v>
      </c>
      <c r="M35" s="3"/>
      <c r="N35" s="3"/>
      <c r="O35" s="3"/>
    </row>
    <row r="36" spans="1:15" s="2" customFormat="1" ht="15" x14ac:dyDescent="0.2">
      <c r="J36" s="12"/>
      <c r="K36" s="12"/>
      <c r="M36" s="3"/>
      <c r="N36" s="3"/>
      <c r="O36" s="3"/>
    </row>
    <row r="37" spans="1:15" s="2" customFormat="1" ht="15.75" x14ac:dyDescent="0.25">
      <c r="A37" s="5" t="s">
        <v>15</v>
      </c>
      <c r="B37" s="5" t="s">
        <v>14</v>
      </c>
      <c r="J37" s="9">
        <f>1320*12</f>
        <v>15840</v>
      </c>
      <c r="K37" s="9">
        <f>14281.73+155.4+0</f>
        <v>14437.13</v>
      </c>
      <c r="M37" s="3"/>
      <c r="N37" s="3"/>
      <c r="O37" s="3"/>
    </row>
    <row r="38" spans="1:15" s="2" customFormat="1" ht="15.75" x14ac:dyDescent="0.25">
      <c r="A38" s="5"/>
      <c r="B38" s="5"/>
      <c r="J38" s="9"/>
      <c r="K38" s="9"/>
      <c r="M38" s="3"/>
      <c r="N38" s="3"/>
      <c r="O38" s="3"/>
    </row>
    <row r="39" spans="1:15" s="2" customFormat="1" ht="15.75" x14ac:dyDescent="0.25">
      <c r="B39" s="5" t="s">
        <v>13</v>
      </c>
      <c r="J39" s="9">
        <f>J4+J10+J17+J22+J29+J33+J35+J37</f>
        <v>717314.74</v>
      </c>
      <c r="K39" s="9">
        <f>K4+K10+K17+K22+K29+K33+K35+K37</f>
        <v>702743.74999999988</v>
      </c>
      <c r="M39" s="3"/>
      <c r="N39" s="3"/>
      <c r="O39" s="3"/>
    </row>
    <row r="40" spans="1:15" s="2" customFormat="1" ht="15.75" x14ac:dyDescent="0.25">
      <c r="B40" s="5" t="s">
        <v>12</v>
      </c>
      <c r="J40" s="12">
        <f>ROUND(J39*7/100,2)</f>
        <v>50212.03</v>
      </c>
      <c r="K40" s="12">
        <f>ROUND(K39*7/100,2)</f>
        <v>49192.06</v>
      </c>
      <c r="M40" s="3"/>
      <c r="N40" s="3"/>
      <c r="O40" s="3"/>
    </row>
    <row r="41" spans="1:15" s="2" customFormat="1" ht="15.75" x14ac:dyDescent="0.25">
      <c r="B41" s="10" t="s">
        <v>11</v>
      </c>
      <c r="C41" s="10"/>
      <c r="D41" s="10"/>
      <c r="J41" s="9">
        <f>SUM(J39:J40)</f>
        <v>767526.77</v>
      </c>
      <c r="K41" s="9">
        <f>SUM(K39:K40)</f>
        <v>751935.80999999982</v>
      </c>
      <c r="M41" s="3"/>
      <c r="N41" s="3"/>
      <c r="O41" s="3"/>
    </row>
    <row r="42" spans="1:15" s="2" customFormat="1" ht="15.75" x14ac:dyDescent="0.25">
      <c r="B42" s="11"/>
      <c r="C42" s="11"/>
      <c r="D42" s="11"/>
      <c r="J42" s="9"/>
      <c r="K42" s="9"/>
      <c r="M42" s="3"/>
      <c r="N42" s="3"/>
      <c r="O42" s="3"/>
    </row>
    <row r="43" spans="1:15" s="2" customFormat="1" ht="15.75" x14ac:dyDescent="0.25">
      <c r="A43" s="5" t="s">
        <v>10</v>
      </c>
      <c r="B43" s="11" t="s">
        <v>9</v>
      </c>
      <c r="C43" s="11"/>
      <c r="D43" s="11"/>
      <c r="J43" s="9">
        <f>8220*12</f>
        <v>98640</v>
      </c>
      <c r="K43" s="9">
        <f>24645.75+24645.75+24062.11+25144.09</f>
        <v>98497.7</v>
      </c>
      <c r="M43" s="3"/>
      <c r="N43" s="3"/>
      <c r="O43" s="3"/>
    </row>
    <row r="44" spans="1:15" s="2" customFormat="1" ht="15.75" x14ac:dyDescent="0.25">
      <c r="B44" s="11"/>
      <c r="C44" s="11"/>
      <c r="D44" s="11"/>
      <c r="J44" s="9"/>
      <c r="K44" s="9"/>
      <c r="M44" s="3"/>
      <c r="N44" s="3"/>
      <c r="O44" s="3"/>
    </row>
    <row r="45" spans="1:15" s="2" customFormat="1" ht="15.75" x14ac:dyDescent="0.25">
      <c r="B45" s="11" t="s">
        <v>8</v>
      </c>
      <c r="C45" s="11"/>
      <c r="D45" s="11"/>
      <c r="J45" s="9">
        <f>J43+J41</f>
        <v>866166.77</v>
      </c>
      <c r="K45" s="9">
        <f>K43+K41</f>
        <v>850433.50999999978</v>
      </c>
      <c r="M45" s="3"/>
      <c r="N45" s="3"/>
      <c r="O45" s="3"/>
    </row>
    <row r="46" spans="1:15" s="5" customFormat="1" ht="15.75" x14ac:dyDescent="0.25">
      <c r="A46" s="10" t="s">
        <v>7</v>
      </c>
      <c r="B46" s="10"/>
      <c r="C46" s="10"/>
      <c r="D46" s="10"/>
      <c r="J46" s="9"/>
      <c r="K46" s="9">
        <f>212079.36+212079.36+213073.08+213073.08</f>
        <v>850304.87999999989</v>
      </c>
      <c r="M46" s="8"/>
      <c r="N46" s="8"/>
      <c r="O46" s="8"/>
    </row>
    <row r="47" spans="1:15" s="5" customFormat="1" ht="15.75" x14ac:dyDescent="0.25">
      <c r="A47" s="10" t="s">
        <v>6</v>
      </c>
      <c r="B47" s="10"/>
      <c r="C47" s="10"/>
      <c r="D47" s="10"/>
      <c r="E47" s="10"/>
      <c r="F47" s="10"/>
      <c r="J47" s="9"/>
      <c r="K47" s="9">
        <f>986.8+806418.08</f>
        <v>807404.88</v>
      </c>
      <c r="M47" s="8"/>
      <c r="N47" s="8"/>
      <c r="O47" s="8"/>
    </row>
    <row r="48" spans="1:15" s="2" customFormat="1" ht="15.75" x14ac:dyDescent="0.25">
      <c r="A48" s="5" t="s">
        <v>5</v>
      </c>
      <c r="K48" s="7">
        <f>3923.69+3768.59+3151.92+5080.1</f>
        <v>15924.300000000001</v>
      </c>
      <c r="M48" s="3"/>
      <c r="N48" s="3"/>
      <c r="O48" s="3"/>
    </row>
    <row r="49" spans="1:15" s="2" customFormat="1" ht="15.75" x14ac:dyDescent="0.25">
      <c r="A49" s="5" t="s">
        <v>4</v>
      </c>
      <c r="K49" s="6">
        <f>K47+K48-K41</f>
        <v>71393.370000000228</v>
      </c>
      <c r="M49" s="3"/>
      <c r="N49" s="3"/>
      <c r="O49" s="3"/>
    </row>
    <row r="50" spans="1:15" s="2" customFormat="1" ht="15.75" x14ac:dyDescent="0.25">
      <c r="A50" s="5"/>
      <c r="M50" s="3"/>
      <c r="N50" s="3"/>
      <c r="O50" s="3"/>
    </row>
    <row r="51" spans="1:15" s="2" customFormat="1" ht="15" x14ac:dyDescent="0.2">
      <c r="B51" s="2" t="s">
        <v>3</v>
      </c>
      <c r="J51" s="2" t="s">
        <v>2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B53" s="2" t="s">
        <v>1</v>
      </c>
      <c r="I53" s="4"/>
      <c r="J53" s="2" t="s">
        <v>0</v>
      </c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C6:F6"/>
    <mergeCell ref="C24:G24"/>
    <mergeCell ref="C18:G18"/>
    <mergeCell ref="C19:G19"/>
    <mergeCell ref="C13:F13"/>
    <mergeCell ref="A46:D46"/>
    <mergeCell ref="B41:D41"/>
    <mergeCell ref="B10:F10"/>
    <mergeCell ref="B17:H17"/>
    <mergeCell ref="A1:K1"/>
    <mergeCell ref="A2:K2"/>
    <mergeCell ref="C7:E7"/>
    <mergeCell ref="B4:H4"/>
    <mergeCell ref="B33:E33"/>
    <mergeCell ref="A47:F47"/>
    <mergeCell ref="B35:F35"/>
    <mergeCell ref="C11:F11"/>
    <mergeCell ref="C12:H12"/>
    <mergeCell ref="C25:F25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2021-03-26T10:39:50Z</dcterms:created>
  <dcterms:modified xsi:type="dcterms:W3CDTF">2021-03-26T10:39:59Z</dcterms:modified>
</cp:coreProperties>
</file>