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J15" i="1"/>
  <c r="J16" i="1"/>
  <c r="J17" i="1"/>
  <c r="K17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/>
  <c r="K45" i="1" l="1"/>
  <c r="K49" i="1"/>
</calcChain>
</file>

<file path=xl/sharedStrings.xml><?xml version="1.0" encoding="utf-8"?>
<sst xmlns="http://schemas.openxmlformats.org/spreadsheetml/2006/main" count="76" uniqueCount="76">
  <si>
    <t>Кузина В.А.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</si>
  <si>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</si>
  <si>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</si>
  <si>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</si>
  <si>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</si>
  <si>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</si>
  <si>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</si>
  <si>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</si>
  <si>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</si>
  <si>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</si>
  <si>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</si>
  <si>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</si>
  <si>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</si>
  <si>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</si>
  <si>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</si>
  <si>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</si>
  <si>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</si>
  <si>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</si>
  <si>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</si>
  <si>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</si>
  <si>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</si>
  <si>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</si>
  <si>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</si>
  <si>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</si>
  <si>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</si>
  <si>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</si>
  <si>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</si>
  <si>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</si>
  <si>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</si>
  <si>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</si>
  <si>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</si>
  <si>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</si>
  <si>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</si>
  <si>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</si>
  <si>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</si>
  <si>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</si>
  <si>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</si>
  <si>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</si>
  <si>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</si>
  <si>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</si>
  <si>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</si>
  <si>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</si>
  <si>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</si>
  <si>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</si>
  <si>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</si>
  <si>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</si>
  <si>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</si>
  <si>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</si>
  <si>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</si>
  <si>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</si>
  <si>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</si>
  <si>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</si>
  <si>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</si>
  <si>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</si>
  <si>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</si>
  <si>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</si>
  <si>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</si>
  <si>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</si>
  <si>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</si>
  <si>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</si>
  <si>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</si>
  <si>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</si>
  <si>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</si>
  <si>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</si>
  <si>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</si>
  <si>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</si>
  <si>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</si>
  <si>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</si>
  <si>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</si>
  <si>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</si>
  <si>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</si>
  <si>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</si>
  <si>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</si>
  <si>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</si>
  <si>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д.58 корп. 1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</si>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</sst>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/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6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6.140625" style="1" bestFit="1" customWidth="1"/>
    <col min="14" max="14" width="12.7109375" style="1" customWidth="1"/>
    <col min="15" max="15" width="9.140625" style="1"/>
  </cols>
  <sheetData>
    <row r="1" spans="1:15" s="21" customFormat="1" ht="18" x14ac:dyDescent="0.25">
      <c r="A1" s="23" t="s">
        <v>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74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73</v>
      </c>
      <c r="K3" s="20" t="s">
        <v>72</v>
      </c>
      <c r="M3" s="3"/>
      <c r="N3" s="3"/>
      <c r="O3" s="3"/>
    </row>
    <row r="4" spans="1:15" s="2" customFormat="1" ht="15.75" x14ac:dyDescent="0.25">
      <c r="A4" s="6" t="s">
        <v>71</v>
      </c>
      <c r="B4" s="10" t="s">
        <v>70</v>
      </c>
      <c r="C4" s="10"/>
      <c r="D4" s="10"/>
      <c r="E4" s="10"/>
      <c r="F4" s="10"/>
      <c r="G4" s="10"/>
      <c r="H4" s="10"/>
      <c r="J4" s="9">
        <f>SUM(J5:J8)</f>
        <v>171371.64</v>
      </c>
      <c r="K4" s="9">
        <f>SUM(K5:K8)</f>
        <v>153943.72999999998</v>
      </c>
      <c r="M4" s="3"/>
      <c r="N4" s="3"/>
      <c r="O4" s="3"/>
    </row>
    <row r="5" spans="1:15" s="2" customFormat="1" ht="15" x14ac:dyDescent="0.2">
      <c r="B5" s="2" t="s">
        <v>69</v>
      </c>
      <c r="C5" s="14" t="s">
        <v>68</v>
      </c>
      <c r="D5" s="14"/>
      <c r="E5" s="14"/>
      <c r="F5" s="14"/>
      <c r="J5" s="12">
        <f>10235*12</f>
        <v>122820</v>
      </c>
      <c r="K5" s="12">
        <f>27294.07+27737.8+26481.56+28913.98</f>
        <v>110427.40999999999</v>
      </c>
      <c r="M5" s="3"/>
      <c r="N5" s="3"/>
      <c r="O5" s="3"/>
    </row>
    <row r="6" spans="1:15" s="2" customFormat="1" ht="15" x14ac:dyDescent="0.2">
      <c r="B6" s="2" t="s">
        <v>67</v>
      </c>
      <c r="C6" s="16" t="s">
        <v>66</v>
      </c>
      <c r="D6" s="16"/>
      <c r="E6" s="16"/>
      <c r="F6" s="16"/>
      <c r="J6" s="19">
        <f>ROUND(J5*30.2/100,2)</f>
        <v>37091.64</v>
      </c>
      <c r="K6" s="19">
        <f>ROUND(K5*30.2/100,2)</f>
        <v>33349.08</v>
      </c>
      <c r="M6" s="18"/>
    </row>
    <row r="7" spans="1:15" s="2" customFormat="1" ht="15" x14ac:dyDescent="0.2">
      <c r="B7" s="2" t="s">
        <v>65</v>
      </c>
      <c r="C7" s="16" t="s">
        <v>64</v>
      </c>
      <c r="D7" s="16"/>
      <c r="E7" s="16"/>
      <c r="J7" s="12">
        <f>434*12</f>
        <v>5208</v>
      </c>
      <c r="K7" s="12">
        <f>1384.33+670.03+767.35+1716.04</f>
        <v>4537.75</v>
      </c>
      <c r="M7" s="3"/>
      <c r="N7" s="3"/>
      <c r="O7" s="3"/>
    </row>
    <row r="8" spans="1:15" s="2" customFormat="1" ht="15" x14ac:dyDescent="0.2">
      <c r="B8" s="2" t="s">
        <v>63</v>
      </c>
      <c r="C8" s="2" t="s">
        <v>62</v>
      </c>
      <c r="J8" s="12">
        <f>521*12</f>
        <v>6252</v>
      </c>
      <c r="K8" s="12">
        <f>842.66+1433.76+839.72+2513.35</f>
        <v>5629.49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6" t="s">
        <v>61</v>
      </c>
      <c r="B10" s="10" t="s">
        <v>60</v>
      </c>
      <c r="C10" s="10"/>
      <c r="D10" s="10"/>
      <c r="E10" s="10"/>
      <c r="F10" s="10"/>
      <c r="J10" s="9">
        <f>SUM(J11:J16)</f>
        <v>76992</v>
      </c>
      <c r="K10" s="9">
        <f>SUM(K11:K16)</f>
        <v>72868.600000000006</v>
      </c>
      <c r="M10" s="3"/>
      <c r="N10" s="3"/>
      <c r="O10" s="3"/>
    </row>
    <row r="11" spans="1:15" s="2" customFormat="1" ht="15" x14ac:dyDescent="0.2">
      <c r="B11" s="2" t="s">
        <v>59</v>
      </c>
      <c r="C11" s="16" t="s">
        <v>58</v>
      </c>
      <c r="D11" s="16"/>
      <c r="E11" s="16"/>
      <c r="F11" s="16"/>
      <c r="J11" s="12">
        <f>304*12</f>
        <v>3648</v>
      </c>
      <c r="K11" s="12">
        <f>930.62+949.2+949.2+949.2</f>
        <v>3778.2200000000003</v>
      </c>
      <c r="M11" s="3"/>
      <c r="N11" s="3"/>
      <c r="O11" s="3"/>
    </row>
    <row r="12" spans="1:15" s="2" customFormat="1" ht="15" x14ac:dyDescent="0.2">
      <c r="B12" s="2" t="s">
        <v>57</v>
      </c>
      <c r="C12" s="16" t="s">
        <v>56</v>
      </c>
      <c r="D12" s="16"/>
      <c r="E12" s="16"/>
      <c r="F12" s="16"/>
      <c r="G12" s="16"/>
      <c r="H12" s="16"/>
      <c r="J12" s="12">
        <f>1888*12</f>
        <v>22656</v>
      </c>
      <c r="K12" s="12">
        <f>5407.72+5399.39+6278.71+5654.56</f>
        <v>22740.38</v>
      </c>
      <c r="M12" s="3"/>
      <c r="N12" s="3"/>
      <c r="O12" s="3"/>
    </row>
    <row r="13" spans="1:15" s="2" customFormat="1" ht="15" x14ac:dyDescent="0.2">
      <c r="B13" s="2" t="s">
        <v>55</v>
      </c>
      <c r="C13" s="16" t="s">
        <v>54</v>
      </c>
      <c r="D13" s="16"/>
      <c r="E13" s="16"/>
      <c r="F13" s="16"/>
      <c r="J13" s="12">
        <f>1988*12</f>
        <v>23856</v>
      </c>
      <c r="K13" s="12">
        <f>0+23850</f>
        <v>23850</v>
      </c>
      <c r="M13" s="3"/>
      <c r="N13" s="3"/>
      <c r="O13" s="3"/>
    </row>
    <row r="14" spans="1:15" s="2" customFormat="1" ht="15" x14ac:dyDescent="0.2">
      <c r="B14" s="2" t="s">
        <v>53</v>
      </c>
      <c r="C14" s="15" t="s">
        <v>52</v>
      </c>
      <c r="D14" s="15"/>
      <c r="E14" s="15"/>
      <c r="F14" s="15"/>
      <c r="J14" s="12">
        <f>141*12</f>
        <v>1692</v>
      </c>
      <c r="K14" s="12"/>
    </row>
    <row r="15" spans="1:15" s="2" customFormat="1" ht="15" x14ac:dyDescent="0.2">
      <c r="B15" s="2" t="s">
        <v>51</v>
      </c>
      <c r="C15" s="15" t="s">
        <v>50</v>
      </c>
      <c r="D15" s="15"/>
      <c r="E15" s="15"/>
      <c r="F15" s="15"/>
      <c r="J15" s="12">
        <f>2025*12</f>
        <v>24300</v>
      </c>
      <c r="K15" s="17">
        <v>22500</v>
      </c>
      <c r="M15" s="3"/>
      <c r="N15" s="3"/>
      <c r="O15" s="3"/>
    </row>
    <row r="16" spans="1:15" s="2" customFormat="1" ht="15" x14ac:dyDescent="0.2">
      <c r="B16" s="2" t="s">
        <v>49</v>
      </c>
      <c r="C16" s="15" t="s">
        <v>48</v>
      </c>
      <c r="D16" s="15"/>
      <c r="E16" s="15"/>
      <c r="F16" s="15"/>
      <c r="J16" s="12">
        <f>70*12</f>
        <v>840</v>
      </c>
      <c r="K16" s="12"/>
    </row>
    <row r="17" spans="1:15" s="2" customFormat="1" ht="15.75" x14ac:dyDescent="0.25">
      <c r="A17" s="6" t="s">
        <v>47</v>
      </c>
      <c r="B17" s="10" t="s">
        <v>46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45</v>
      </c>
      <c r="C18" s="16" t="s">
        <v>44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43</v>
      </c>
      <c r="C19" s="16" t="s">
        <v>42</v>
      </c>
      <c r="D19" s="16"/>
      <c r="E19" s="16"/>
      <c r="F19" s="16"/>
      <c r="G19" s="16"/>
      <c r="H19" s="14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41</v>
      </c>
      <c r="C20" s="2" t="s">
        <v>40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6" t="s">
        <v>39</v>
      </c>
      <c r="B22" s="13" t="s">
        <v>38</v>
      </c>
      <c r="C22" s="13"/>
      <c r="D22" s="13"/>
      <c r="J22" s="9">
        <f>22580*12</f>
        <v>270960</v>
      </c>
      <c r="K22" s="9">
        <f>SUM(K23:K27)</f>
        <v>263720.62</v>
      </c>
      <c r="M22" s="3"/>
      <c r="N22" s="3"/>
      <c r="O22" s="3"/>
    </row>
    <row r="23" spans="1:15" s="2" customFormat="1" ht="15" x14ac:dyDescent="0.2">
      <c r="B23" s="2" t="s">
        <v>37</v>
      </c>
      <c r="C23" s="14" t="s">
        <v>36</v>
      </c>
      <c r="D23" s="14"/>
      <c r="J23" s="12"/>
      <c r="K23" s="12">
        <f>5577.9+19898.87+97060.57+58826.86</f>
        <v>181364.2</v>
      </c>
      <c r="M23" s="3"/>
      <c r="N23" s="3"/>
      <c r="O23" s="3"/>
    </row>
    <row r="24" spans="1:15" s="2" customFormat="1" ht="15" x14ac:dyDescent="0.2">
      <c r="B24" s="2" t="s">
        <v>35</v>
      </c>
      <c r="C24" s="16" t="s">
        <v>34</v>
      </c>
      <c r="D24" s="16"/>
      <c r="E24" s="16"/>
      <c r="F24" s="16"/>
      <c r="G24" s="16"/>
      <c r="J24" s="12"/>
      <c r="K24" s="12">
        <f>23278.38+11363.01+12267.62+14262.13</f>
        <v>61171.14</v>
      </c>
      <c r="M24" s="3"/>
      <c r="N24" s="3"/>
      <c r="O24" s="3"/>
    </row>
    <row r="25" spans="1:15" s="2" customFormat="1" ht="15" x14ac:dyDescent="0.2">
      <c r="B25" s="2" t="s">
        <v>33</v>
      </c>
      <c r="C25" s="16" t="s">
        <v>32</v>
      </c>
      <c r="D25" s="16"/>
      <c r="E25" s="16"/>
      <c r="F25" s="16"/>
      <c r="G25" s="14"/>
      <c r="H25" s="14"/>
      <c r="J25" s="12"/>
      <c r="K25" s="12">
        <f>4774.62+5662.52+5613.34+5134.8</f>
        <v>21185.279999999999</v>
      </c>
      <c r="M25" s="3"/>
      <c r="N25" s="3"/>
      <c r="O25" s="3"/>
    </row>
    <row r="26" spans="1:15" s="2" customFormat="1" ht="15" x14ac:dyDescent="0.2">
      <c r="B26" s="2" t="s">
        <v>31</v>
      </c>
      <c r="C26" s="15" t="s">
        <v>30</v>
      </c>
      <c r="D26" s="15"/>
      <c r="E26" s="15"/>
      <c r="F26" s="15"/>
      <c r="G26" s="14"/>
      <c r="H26" s="14"/>
      <c r="J26" s="12"/>
      <c r="K26" s="12"/>
      <c r="M26" s="3"/>
      <c r="N26" s="3"/>
      <c r="O26" s="3"/>
    </row>
    <row r="27" spans="1:15" s="2" customFormat="1" ht="15" x14ac:dyDescent="0.2">
      <c r="B27" s="2" t="s">
        <v>29</v>
      </c>
      <c r="C27" s="15" t="s">
        <v>28</v>
      </c>
      <c r="D27" s="15"/>
      <c r="E27" s="15"/>
      <c r="F27" s="15"/>
      <c r="G27" s="14"/>
      <c r="H27" s="14"/>
      <c r="J27" s="12"/>
      <c r="K27" s="12"/>
    </row>
    <row r="28" spans="1:15" s="2" customFormat="1" ht="15" x14ac:dyDescent="0.2">
      <c r="B28" s="2" t="s">
        <v>27</v>
      </c>
      <c r="C28" s="15" t="s">
        <v>26</v>
      </c>
      <c r="D28" s="15"/>
      <c r="E28" s="15"/>
      <c r="F28" s="15"/>
      <c r="G28" s="14"/>
      <c r="H28" s="14"/>
      <c r="J28" s="12"/>
      <c r="K28" s="12">
        <v>12295.95</v>
      </c>
    </row>
    <row r="29" spans="1:15" s="2" customFormat="1" ht="15.75" x14ac:dyDescent="0.25">
      <c r="A29" s="6" t="s">
        <v>25</v>
      </c>
      <c r="B29" s="13" t="s">
        <v>24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6"/>
      <c r="B30" s="14" t="s">
        <v>23</v>
      </c>
      <c r="C30" s="14" t="s">
        <v>22</v>
      </c>
      <c r="D30" s="14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6"/>
      <c r="B31" s="14" t="s">
        <v>21</v>
      </c>
      <c r="C31" s="14" t="s">
        <v>20</v>
      </c>
      <c r="D31" s="14"/>
      <c r="J31" s="12">
        <f>J30*0.302</f>
        <v>0</v>
      </c>
      <c r="K31" s="12">
        <f>K30*0.302</f>
        <v>0</v>
      </c>
    </row>
    <row r="32" spans="1:15" s="2" customFormat="1" ht="15.75" x14ac:dyDescent="0.25">
      <c r="A32" s="6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6" t="s">
        <v>19</v>
      </c>
      <c r="B33" s="10" t="s">
        <v>18</v>
      </c>
      <c r="C33" s="10"/>
      <c r="D33" s="10"/>
      <c r="E33" s="10"/>
      <c r="J33" s="9">
        <f>4400*12</f>
        <v>52800</v>
      </c>
      <c r="K33" s="9">
        <f>23043.36+26767.94+16255.34+18659.56</f>
        <v>84726.2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6" t="s">
        <v>17</v>
      </c>
      <c r="B35" s="10" t="s">
        <v>16</v>
      </c>
      <c r="C35" s="10"/>
      <c r="D35" s="10"/>
      <c r="E35" s="10"/>
      <c r="F35" s="10"/>
      <c r="J35" s="9">
        <f>10950*12</f>
        <v>131400</v>
      </c>
      <c r="K35" s="9">
        <f>48876.38+49541.63+47419.85+43622.71</f>
        <v>189460.56999999998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6" t="s">
        <v>15</v>
      </c>
      <c r="B37" s="6" t="s">
        <v>14</v>
      </c>
      <c r="J37" s="9">
        <f>1320*12</f>
        <v>15840</v>
      </c>
      <c r="K37" s="9">
        <f>14324.29+155.86</f>
        <v>14480.150000000001</v>
      </c>
      <c r="M37" s="3"/>
      <c r="N37" s="3"/>
      <c r="O37" s="3"/>
    </row>
    <row r="38" spans="1:15" s="6" customFormat="1" ht="15.75" x14ac:dyDescent="0.25">
      <c r="J38" s="9"/>
      <c r="K38" s="9"/>
      <c r="M38" s="8"/>
      <c r="N38" s="8"/>
      <c r="O38" s="8"/>
    </row>
    <row r="39" spans="1:15" s="2" customFormat="1" ht="15.75" x14ac:dyDescent="0.25">
      <c r="B39" s="6" t="s">
        <v>13</v>
      </c>
      <c r="J39" s="9">
        <f>J4+J10+J17+J22+J29+J33+J35+J37</f>
        <v>719363.64</v>
      </c>
      <c r="K39" s="9">
        <f>K4+K10+K17+K22+K29+K33+K35+K37</f>
        <v>779199.86999999988</v>
      </c>
      <c r="M39" s="3"/>
      <c r="N39" s="3"/>
      <c r="O39" s="3"/>
    </row>
    <row r="40" spans="1:15" s="2" customFormat="1" ht="15.75" x14ac:dyDescent="0.25">
      <c r="B40" s="6" t="s">
        <v>12</v>
      </c>
      <c r="J40" s="12">
        <f>ROUND(J39*7/100,2)</f>
        <v>50355.45</v>
      </c>
      <c r="K40" s="12">
        <f>ROUND(K39*7/100,2)</f>
        <v>54543.99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769719.09</v>
      </c>
      <c r="K41" s="9">
        <f>SUM(K39:K40)</f>
        <v>833743.85999999987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6" t="s">
        <v>10</v>
      </c>
      <c r="B43" s="11" t="s">
        <v>9</v>
      </c>
      <c r="C43" s="11"/>
      <c r="D43" s="11"/>
      <c r="J43" s="9">
        <f>8220*12</f>
        <v>98640</v>
      </c>
      <c r="K43" s="9">
        <f>24645.75+24645.75+24062.11+25144.09</f>
        <v>98497.7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8</v>
      </c>
      <c r="C45" s="11"/>
      <c r="D45" s="11"/>
      <c r="J45" s="9">
        <f>J43+J41</f>
        <v>868359.09</v>
      </c>
      <c r="K45" s="9">
        <f>K43+K41</f>
        <v>932241.55999999982</v>
      </c>
      <c r="M45" s="3"/>
      <c r="N45" s="3"/>
      <c r="O45" s="3"/>
    </row>
    <row r="46" spans="1:15" s="6" customFormat="1" ht="15.75" x14ac:dyDescent="0.25">
      <c r="A46" s="10" t="s">
        <v>7</v>
      </c>
      <c r="B46" s="10"/>
      <c r="C46" s="10"/>
      <c r="D46" s="10"/>
      <c r="J46" s="9"/>
      <c r="K46" s="9">
        <f>212546.73+212546.73+213544.5+213547.5</f>
        <v>852185.46</v>
      </c>
      <c r="M46" s="8"/>
      <c r="N46" s="8"/>
      <c r="O46" s="8"/>
    </row>
    <row r="47" spans="1:15" s="6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962.54+839832.37</f>
        <v>840794.91</v>
      </c>
      <c r="M47" s="8"/>
      <c r="N47" s="8"/>
      <c r="O47" s="8"/>
    </row>
    <row r="48" spans="1:15" s="2" customFormat="1" ht="15.75" x14ac:dyDescent="0.25">
      <c r="A48" s="6" t="s">
        <v>5</v>
      </c>
      <c r="K48" s="7">
        <f>3928.95+3353.39+3154.87+5087.55</f>
        <v>15524.759999999998</v>
      </c>
      <c r="M48" s="3"/>
      <c r="N48" s="3"/>
      <c r="O48" s="3"/>
    </row>
    <row r="49" spans="1:15" s="2" customFormat="1" ht="15.75" x14ac:dyDescent="0.25">
      <c r="A49" s="6" t="s">
        <v>4</v>
      </c>
      <c r="K49" s="5">
        <f>K47+K48-K41</f>
        <v>22575.810000000172</v>
      </c>
      <c r="M49" s="3"/>
      <c r="N49" s="3"/>
      <c r="O49" s="3"/>
    </row>
    <row r="50" spans="1:15" s="2" customFormat="1" ht="15" x14ac:dyDescent="0.2"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2021-03-26T10:41:28Z</dcterms:created>
  <dcterms:modified xsi:type="dcterms:W3CDTF">2021-03-26T10:41:36Z</dcterms:modified>
</cp:coreProperties>
</file>