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7" i="1"/>
  <c r="K43" i="1"/>
  <c r="J43" i="1"/>
  <c r="K37" i="1"/>
  <c r="J37" i="1"/>
  <c r="K35" i="1"/>
  <c r="J35" i="1"/>
  <c r="K33" i="1"/>
  <c r="J33" i="1"/>
  <c r="K31" i="1"/>
  <c r="J31" i="1"/>
  <c r="K29" i="1"/>
  <c r="K25" i="1"/>
  <c r="K22" i="1" s="1"/>
  <c r="K24" i="1"/>
  <c r="K23" i="1"/>
  <c r="J22" i="1"/>
  <c r="J21" i="1"/>
  <c r="K20" i="1"/>
  <c r="J20" i="1"/>
  <c r="K19" i="1"/>
  <c r="J19" i="1"/>
  <c r="K18" i="1"/>
  <c r="J18" i="1"/>
  <c r="J17" i="1" s="1"/>
  <c r="K17" i="1"/>
  <c r="J16" i="1"/>
  <c r="K15" i="1"/>
  <c r="J15" i="1"/>
  <c r="J14" i="1"/>
  <c r="K13" i="1"/>
  <c r="J13" i="1"/>
  <c r="K12" i="1"/>
  <c r="J12" i="1"/>
  <c r="K11" i="1"/>
  <c r="J11" i="1"/>
  <c r="J10" i="1" s="1"/>
  <c r="K10" i="1"/>
  <c r="K8" i="1"/>
  <c r="J8" i="1"/>
  <c r="K7" i="1"/>
  <c r="J7" i="1"/>
  <c r="J6" i="1"/>
  <c r="J4" i="1" s="1"/>
  <c r="K5" i="1"/>
  <c r="K6" i="1" s="1"/>
  <c r="J5" i="1"/>
  <c r="J39" i="1" l="1"/>
  <c r="K4" i="1"/>
  <c r="K39" i="1" s="1"/>
  <c r="K40" i="1" l="1"/>
  <c r="K41" i="1" s="1"/>
  <c r="J40" i="1"/>
  <c r="J41" i="1"/>
  <c r="J45" i="1" s="1"/>
  <c r="K45" i="1" l="1"/>
  <c r="K50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<sst xmlns="http://schemas.openxmlformats.org/spreadsheetml/2006/main" count="78" uniqueCount="78">
  <si>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</si>
  <si>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д.26 по ул. Зубковой за январь-декабрь 2020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</si>
  <si>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</si>
  <si>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</si>
  <si>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</si>
  <si>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</si>
  <si>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</si>
  <si>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уборщицы, рабочих м/пр</t>
  </si>
  <si>
    <t>1.2.</t>
  </si>
  <si>
    <t>Начисление на зарплату 30.2%</t>
  </si>
  <si>
    <t>1.3.</t>
  </si>
  <si>
    <t>С/о и инвентарь :</t>
  </si>
  <si>
    <t>1.4.</t>
  </si>
  <si>
    <t>Прочее: (уборка снега, окос)</t>
  </si>
  <si>
    <t>2.</t>
  </si>
  <si>
    <t>Содержание домохозяйства :</t>
  </si>
  <si>
    <t>2.1.</t>
  </si>
  <si>
    <t>Дератизация, дезинсекция</t>
  </si>
  <si>
    <t>2.2.</t>
  </si>
  <si>
    <t>Услуга АРС (Аварийно-ремонтной службы)</t>
  </si>
  <si>
    <t>2.3.</t>
  </si>
  <si>
    <t>Рязаньгоргаз</t>
  </si>
  <si>
    <t>2.4.</t>
  </si>
  <si>
    <t>Проверка вент.каналов</t>
  </si>
  <si>
    <t>2.5.</t>
  </si>
  <si>
    <t>Тех.диагностика ВДГО</t>
  </si>
  <si>
    <t>2.6.</t>
  </si>
  <si>
    <t>Испытание и измерение электрооб.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</si>
  <si>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</si>
  <si>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</si>
  <si>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</si>
  <si>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</si>
  <si>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</si>
  <si>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</si>
  <si>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</si>
  <si>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</si>
  <si>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</si>
  <si>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</si>
  <si>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</si>
  <si>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</si>
  <si>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</si>
  <si>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</si>
  <si>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</si>
  <si>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</si>
  <si>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</si>
  <si>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</si>
  <si>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</si>
  <si>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</si>
  <si>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</si>
  <si>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Ремонт балконных козырьков</t>
  </si>
  <si>
    <t>4.6.</t>
  </si>
  <si>
    <t xml:space="preserve">Обследование вентиляции 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</si>
  <si>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</si>
  <si>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</si>
  <si>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</si>
  <si>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</si>
  <si>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</si>
  <si>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30,2%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</si>
  <si>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</si>
  <si>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</si>
  <si>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</si>
  <si>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</si>
  <si>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</si>
  <si>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</si>
  <si>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Итого:</t>
  </si>
  <si>
    <t>Рентабельность</t>
  </si>
  <si>
    <t>Всего:</t>
  </si>
  <si>
    <t>9.</t>
  </si>
  <si>
    <t>Расходы на ОДН (ГВС, ГВС, эл. эн.)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</si>
  <si>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</si>
  <si>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</si>
  <si>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</si>
  <si>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</si>
  <si>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</si>
  <si>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</si>
  <si>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</si>
  <si>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</si>
  <si>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Исаева Л.П.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</si>
</sst>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/>
    <xf numFmtId="164" fontId="2" fillId="2" borderId="1" xfId="0" applyNumberFormat="1" applyFont="1" applyFill="1" applyBorder="1"/>
    <xf numFmtId="43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177"/>
  <sheetViews>
    <sheetView tabSelected="1" workbookViewId="0">
      <selection activeCell="O29" sqref="O29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42578125" customWidth="1"/>
    <col min="13" max="13" width="18.5703125" customWidth="1"/>
    <col min="14" max="14" width="17.5703125" customWidth="1"/>
    <col min="15" max="15" width="20" customWidth="1"/>
    <col min="16" max="16" width="17.140625" customWidth="1"/>
  </cols>
  <sheetData>
    <row r="1" spans="1:13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s="3" customFormat="1" ht="15.75" x14ac:dyDescent="0.25">
      <c r="J3" s="4" t="s">
        <v>2</v>
      </c>
      <c r="K3" s="4" t="s">
        <v>3</v>
      </c>
    </row>
    <row r="4" spans="1:13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SUM(J5:J9)</f>
        <v>1103555.3</v>
      </c>
      <c r="K4" s="7">
        <f>SUM(K5:K9)</f>
        <v>1105783.05</v>
      </c>
    </row>
    <row r="5" spans="1:13" s="3" customFormat="1" ht="15" x14ac:dyDescent="0.2">
      <c r="B5" s="3" t="s">
        <v>6</v>
      </c>
      <c r="C5" s="8" t="s">
        <v>7</v>
      </c>
      <c r="D5" s="8"/>
      <c r="E5" s="8"/>
      <c r="F5" s="8"/>
      <c r="J5" s="9">
        <f>65321*12</f>
        <v>783852</v>
      </c>
      <c r="K5" s="9">
        <f>198499.48+197369.03+198848+195290.48</f>
        <v>790006.99</v>
      </c>
    </row>
    <row r="6" spans="1:13" s="3" customFormat="1" ht="15" x14ac:dyDescent="0.2">
      <c r="B6" s="3" t="s">
        <v>8</v>
      </c>
      <c r="C6" s="10" t="s">
        <v>9</v>
      </c>
      <c r="D6" s="10"/>
      <c r="E6" s="10"/>
      <c r="F6" s="10"/>
      <c r="J6" s="11">
        <f>ROUND(J5*30.2/100,2)</f>
        <v>236723.3</v>
      </c>
      <c r="K6" s="11">
        <f>ROUND(K5*30.2/100,2)</f>
        <v>238582.11</v>
      </c>
      <c r="M6" s="12"/>
    </row>
    <row r="7" spans="1:13" s="3" customFormat="1" ht="15" x14ac:dyDescent="0.2">
      <c r="B7" s="3" t="s">
        <v>10</v>
      </c>
      <c r="C7" s="10" t="s">
        <v>11</v>
      </c>
      <c r="D7" s="10"/>
      <c r="E7" s="10"/>
      <c r="J7" s="9">
        <f>3143*12</f>
        <v>37716</v>
      </c>
      <c r="K7" s="9">
        <f>2935.08+5556.22+6778.06+21165.34</f>
        <v>36434.699999999997</v>
      </c>
    </row>
    <row r="8" spans="1:13" s="3" customFormat="1" ht="15" x14ac:dyDescent="0.2">
      <c r="B8" s="3" t="s">
        <v>12</v>
      </c>
      <c r="C8" s="3" t="s">
        <v>13</v>
      </c>
      <c r="J8" s="9">
        <f>3772*12</f>
        <v>45264</v>
      </c>
      <c r="K8" s="9">
        <f>6101.1+10380.85+6079.86+18197.44</f>
        <v>40759.25</v>
      </c>
    </row>
    <row r="9" spans="1:13" s="3" customFormat="1" ht="15" x14ac:dyDescent="0.2">
      <c r="J9" s="9"/>
      <c r="K9" s="9"/>
    </row>
    <row r="10" spans="1:13" s="3" customFormat="1" ht="15.75" x14ac:dyDescent="0.25">
      <c r="A10" s="5" t="s">
        <v>14</v>
      </c>
      <c r="B10" s="6" t="s">
        <v>15</v>
      </c>
      <c r="C10" s="6"/>
      <c r="D10" s="6"/>
      <c r="E10" s="6"/>
      <c r="F10" s="6"/>
      <c r="J10" s="7">
        <f>SUM(J11:J16)</f>
        <v>343308</v>
      </c>
      <c r="K10" s="7">
        <f>SUM(K11:K16)</f>
        <v>323615.13</v>
      </c>
    </row>
    <row r="11" spans="1:13" s="3" customFormat="1" ht="15" x14ac:dyDescent="0.2">
      <c r="B11" s="3" t="s">
        <v>16</v>
      </c>
      <c r="C11" s="10" t="s">
        <v>17</v>
      </c>
      <c r="D11" s="10"/>
      <c r="E11" s="10"/>
      <c r="F11" s="10"/>
      <c r="J11" s="9">
        <f>1220*12</f>
        <v>14640</v>
      </c>
      <c r="K11" s="9">
        <f>3738.5+3813.15+3813.15+3813.15</f>
        <v>15177.949999999999</v>
      </c>
    </row>
    <row r="12" spans="1:13" s="3" customFormat="1" ht="15" x14ac:dyDescent="0.2">
      <c r="B12" s="3" t="s">
        <v>18</v>
      </c>
      <c r="C12" s="10" t="s">
        <v>19</v>
      </c>
      <c r="D12" s="10"/>
      <c r="E12" s="10"/>
      <c r="F12" s="10"/>
      <c r="G12" s="10"/>
      <c r="H12" s="10"/>
      <c r="J12" s="9">
        <f>13673*12</f>
        <v>164076</v>
      </c>
      <c r="K12" s="9">
        <f>39153.51+39093.2+45459.74+40940.73</f>
        <v>164647.18</v>
      </c>
    </row>
    <row r="13" spans="1:13" s="3" customFormat="1" ht="15" x14ac:dyDescent="0.2">
      <c r="B13" s="3" t="s">
        <v>20</v>
      </c>
      <c r="C13" s="10" t="s">
        <v>21</v>
      </c>
      <c r="D13" s="10"/>
      <c r="E13" s="10"/>
      <c r="F13" s="10"/>
      <c r="J13" s="9">
        <f>12632*12</f>
        <v>151584</v>
      </c>
      <c r="K13" s="9">
        <f>142290</f>
        <v>142290</v>
      </c>
    </row>
    <row r="14" spans="1:13" s="3" customFormat="1" ht="15" x14ac:dyDescent="0.2">
      <c r="B14" s="3" t="s">
        <v>22</v>
      </c>
      <c r="C14" s="13" t="s">
        <v>23</v>
      </c>
      <c r="D14" s="13"/>
      <c r="E14" s="13"/>
      <c r="F14" s="13"/>
      <c r="J14" s="9">
        <f>897*12</f>
        <v>10764</v>
      </c>
      <c r="K14" s="9">
        <v>1500</v>
      </c>
    </row>
    <row r="15" spans="1:13" s="3" customFormat="1" ht="15" x14ac:dyDescent="0.2">
      <c r="B15" s="3" t="s">
        <v>24</v>
      </c>
      <c r="C15" s="13" t="s">
        <v>25</v>
      </c>
      <c r="D15" s="13"/>
      <c r="E15" s="13"/>
      <c r="F15" s="13"/>
      <c r="J15" s="9">
        <f>0</f>
        <v>0</v>
      </c>
      <c r="K15" s="9">
        <f>0</f>
        <v>0</v>
      </c>
    </row>
    <row r="16" spans="1:13" s="3" customFormat="1" ht="15" x14ac:dyDescent="0.2">
      <c r="B16" s="3" t="s">
        <v>26</v>
      </c>
      <c r="C16" s="13" t="s">
        <v>27</v>
      </c>
      <c r="D16" s="13"/>
      <c r="E16" s="13"/>
      <c r="F16" s="13"/>
      <c r="J16" s="9">
        <f>187*12</f>
        <v>2244</v>
      </c>
      <c r="K16" s="9">
        <v>0</v>
      </c>
    </row>
    <row r="17" spans="1:15" s="3" customFormat="1" ht="15.75" x14ac:dyDescent="0.25">
      <c r="A17" s="5" t="s">
        <v>28</v>
      </c>
      <c r="B17" s="6" t="s">
        <v>29</v>
      </c>
      <c r="C17" s="6"/>
      <c r="D17" s="6"/>
      <c r="E17" s="6"/>
      <c r="F17" s="6"/>
      <c r="G17" s="6"/>
      <c r="H17" s="6"/>
      <c r="J17" s="7">
        <f>SUM(J18:J21)</f>
        <v>1157160</v>
      </c>
      <c r="K17" s="7">
        <f>SUM(K18:K21)</f>
        <v>1013498.75</v>
      </c>
    </row>
    <row r="18" spans="1:15" s="3" customFormat="1" ht="15" x14ac:dyDescent="0.2">
      <c r="B18" s="13" t="s">
        <v>30</v>
      </c>
      <c r="C18" s="10" t="s">
        <v>31</v>
      </c>
      <c r="D18" s="10"/>
      <c r="E18" s="10"/>
      <c r="F18" s="10"/>
      <c r="G18" s="10"/>
      <c r="J18" s="9">
        <f>76585*12</f>
        <v>919020</v>
      </c>
      <c r="K18" s="9">
        <f>229754.4+229754.4+229754.4+92699.55</f>
        <v>781962.75</v>
      </c>
    </row>
    <row r="19" spans="1:15" s="3" customFormat="1" ht="15" x14ac:dyDescent="0.2">
      <c r="B19" s="13" t="s">
        <v>32</v>
      </c>
      <c r="C19" s="10" t="s">
        <v>33</v>
      </c>
      <c r="D19" s="10"/>
      <c r="E19" s="10"/>
      <c r="F19" s="10"/>
      <c r="G19" s="10"/>
      <c r="H19" s="8"/>
      <c r="J19" s="9">
        <f>5695*12</f>
        <v>68340</v>
      </c>
      <c r="K19" s="9">
        <f>68336</f>
        <v>68336</v>
      </c>
    </row>
    <row r="20" spans="1:15" s="3" customFormat="1" ht="15" x14ac:dyDescent="0.2">
      <c r="B20" s="3" t="s">
        <v>34</v>
      </c>
      <c r="C20" s="3" t="s">
        <v>35</v>
      </c>
      <c r="J20" s="9">
        <f>750*12</f>
        <v>9000</v>
      </c>
      <c r="K20" s="9">
        <f>150*16</f>
        <v>2400</v>
      </c>
    </row>
    <row r="21" spans="1:15" s="3" customFormat="1" ht="15" x14ac:dyDescent="0.2">
      <c r="B21" s="3" t="s">
        <v>36</v>
      </c>
      <c r="C21" s="3" t="s">
        <v>37</v>
      </c>
      <c r="J21" s="9">
        <f>13400*12</f>
        <v>160800</v>
      </c>
      <c r="K21" s="9">
        <v>160800</v>
      </c>
      <c r="M21" s="14"/>
      <c r="N21" s="14"/>
      <c r="O21" s="14"/>
    </row>
    <row r="22" spans="1:15" s="3" customFormat="1" ht="15.75" x14ac:dyDescent="0.25">
      <c r="A22" s="5" t="s">
        <v>38</v>
      </c>
      <c r="B22" s="15" t="s">
        <v>39</v>
      </c>
      <c r="C22" s="15"/>
      <c r="D22" s="15"/>
      <c r="J22" s="7">
        <f>98700*12</f>
        <v>1184400</v>
      </c>
      <c r="K22" s="7">
        <f>SUM(K23:K28)</f>
        <v>1774151.07</v>
      </c>
    </row>
    <row r="23" spans="1:15" s="3" customFormat="1" ht="15" x14ac:dyDescent="0.2">
      <c r="B23" s="3" t="s">
        <v>40</v>
      </c>
      <c r="C23" s="8" t="s">
        <v>41</v>
      </c>
      <c r="D23" s="8"/>
      <c r="J23" s="16"/>
      <c r="K23" s="16">
        <f>80402.77+104624.87+765184.46+245501.49</f>
        <v>1195713.5899999999</v>
      </c>
    </row>
    <row r="24" spans="1:15" s="3" customFormat="1" ht="15" x14ac:dyDescent="0.2">
      <c r="B24" s="3" t="s">
        <v>42</v>
      </c>
      <c r="C24" s="10" t="s">
        <v>43</v>
      </c>
      <c r="D24" s="10"/>
      <c r="E24" s="10"/>
      <c r="F24" s="10"/>
      <c r="G24" s="10"/>
      <c r="J24" s="16"/>
      <c r="K24" s="16">
        <f>139597.52+87837.26+55612.09+81755.2</f>
        <v>364802.07</v>
      </c>
    </row>
    <row r="25" spans="1:15" s="3" customFormat="1" ht="15" x14ac:dyDescent="0.2">
      <c r="B25" s="3" t="s">
        <v>44</v>
      </c>
      <c r="C25" s="10" t="s">
        <v>45</v>
      </c>
      <c r="D25" s="10"/>
      <c r="E25" s="10"/>
      <c r="F25" s="10"/>
      <c r="G25" s="8"/>
      <c r="H25" s="8"/>
      <c r="J25" s="9"/>
      <c r="K25" s="9">
        <f>34569.66+40998.34+40642.28+37177.53</f>
        <v>153387.81</v>
      </c>
    </row>
    <row r="26" spans="1:15" s="3" customFormat="1" ht="15" x14ac:dyDescent="0.2">
      <c r="B26" s="3" t="s">
        <v>46</v>
      </c>
      <c r="C26" s="13" t="s">
        <v>47</v>
      </c>
      <c r="D26" s="13"/>
      <c r="E26" s="13"/>
      <c r="F26" s="13"/>
      <c r="G26" s="8"/>
      <c r="H26" s="8"/>
      <c r="J26" s="9"/>
      <c r="K26" s="9">
        <v>17265.240000000002</v>
      </c>
    </row>
    <row r="27" spans="1:15" s="3" customFormat="1" ht="15" x14ac:dyDescent="0.2">
      <c r="B27" s="3" t="s">
        <v>48</v>
      </c>
      <c r="C27" s="13" t="s">
        <v>49</v>
      </c>
      <c r="D27" s="13"/>
      <c r="E27" s="13"/>
      <c r="F27" s="13"/>
      <c r="G27" s="8"/>
      <c r="H27" s="8"/>
      <c r="J27" s="9"/>
      <c r="K27" s="9"/>
    </row>
    <row r="28" spans="1:15" s="3" customFormat="1" ht="15" x14ac:dyDescent="0.2">
      <c r="B28" s="3" t="s">
        <v>50</v>
      </c>
      <c r="C28" s="13" t="s">
        <v>51</v>
      </c>
      <c r="D28" s="13"/>
      <c r="E28" s="13"/>
      <c r="F28" s="13"/>
      <c r="G28" s="8"/>
      <c r="H28" s="8"/>
      <c r="J28" s="9"/>
      <c r="K28" s="9">
        <v>42982.36</v>
      </c>
    </row>
    <row r="29" spans="1:15" s="3" customFormat="1" ht="15.75" x14ac:dyDescent="0.25">
      <c r="A29" s="5" t="s">
        <v>52</v>
      </c>
      <c r="B29" s="15" t="s">
        <v>53</v>
      </c>
      <c r="C29" s="15"/>
      <c r="D29" s="15"/>
      <c r="J29" s="7">
        <v>0</v>
      </c>
      <c r="K29" s="7">
        <f>K30+K31</f>
        <v>0</v>
      </c>
    </row>
    <row r="30" spans="1:15" s="3" customFormat="1" ht="15.75" x14ac:dyDescent="0.25">
      <c r="A30" s="5"/>
      <c r="B30" s="8" t="s">
        <v>54</v>
      </c>
      <c r="C30" s="8" t="s">
        <v>55</v>
      </c>
      <c r="D30" s="8"/>
      <c r="J30" s="7">
        <v>0</v>
      </c>
      <c r="K30" s="9"/>
    </row>
    <row r="31" spans="1:15" s="3" customFormat="1" ht="15.75" x14ac:dyDescent="0.25">
      <c r="A31" s="5"/>
      <c r="B31" s="8" t="s">
        <v>56</v>
      </c>
      <c r="C31" s="8" t="s">
        <v>57</v>
      </c>
      <c r="D31" s="8"/>
      <c r="J31" s="9">
        <f>J30*0.302</f>
        <v>0</v>
      </c>
      <c r="K31" s="9">
        <f>K30*0.302</f>
        <v>0</v>
      </c>
    </row>
    <row r="32" spans="1:15" s="3" customFormat="1" ht="15.75" x14ac:dyDescent="0.25">
      <c r="A32" s="5"/>
      <c r="B32" s="15"/>
      <c r="C32" s="15"/>
      <c r="D32" s="15"/>
      <c r="J32" s="7"/>
      <c r="K32" s="7"/>
    </row>
    <row r="33" spans="1:16" s="3" customFormat="1" ht="15.75" x14ac:dyDescent="0.25">
      <c r="A33" s="5" t="s">
        <v>58</v>
      </c>
      <c r="B33" s="6" t="s">
        <v>59</v>
      </c>
      <c r="C33" s="6"/>
      <c r="D33" s="6"/>
      <c r="E33" s="6"/>
      <c r="J33" s="7">
        <f>64170*12</f>
        <v>770040</v>
      </c>
      <c r="K33" s="7">
        <f>169806.68+196744.28+117693.63+141737.4</f>
        <v>625981.99</v>
      </c>
      <c r="M33" s="17"/>
    </row>
    <row r="34" spans="1:16" s="3" customFormat="1" ht="15" x14ac:dyDescent="0.2">
      <c r="J34" s="9"/>
      <c r="K34" s="9"/>
      <c r="M34" s="17"/>
    </row>
    <row r="35" spans="1:16" s="3" customFormat="1" ht="15.75" x14ac:dyDescent="0.25">
      <c r="A35" s="5" t="s">
        <v>60</v>
      </c>
      <c r="B35" s="6" t="s">
        <v>61</v>
      </c>
      <c r="C35" s="6"/>
      <c r="D35" s="6"/>
      <c r="E35" s="6"/>
      <c r="F35" s="6"/>
      <c r="J35" s="7">
        <f>142980*12</f>
        <v>1715760</v>
      </c>
      <c r="K35" s="7">
        <f>353879.78+358696.31+343334.03+315841.61</f>
        <v>1371751.73</v>
      </c>
      <c r="M35" s="17"/>
    </row>
    <row r="36" spans="1:16" s="3" customFormat="1" ht="15" x14ac:dyDescent="0.2">
      <c r="J36" s="9"/>
      <c r="K36" s="9"/>
    </row>
    <row r="37" spans="1:16" s="3" customFormat="1" ht="15.75" x14ac:dyDescent="0.25">
      <c r="A37" s="5" t="s">
        <v>62</v>
      </c>
      <c r="B37" s="5" t="s">
        <v>63</v>
      </c>
      <c r="J37" s="7">
        <f>9580*12</f>
        <v>114960</v>
      </c>
      <c r="K37" s="7">
        <f>103712.17+1128.5+0</f>
        <v>104840.67</v>
      </c>
    </row>
    <row r="38" spans="1:16" s="3" customFormat="1" ht="15" x14ac:dyDescent="0.2">
      <c r="J38" s="9"/>
      <c r="K38" s="9"/>
    </row>
    <row r="39" spans="1:16" s="3" customFormat="1" ht="15.75" x14ac:dyDescent="0.25">
      <c r="B39" s="5" t="s">
        <v>64</v>
      </c>
      <c r="J39" s="7">
        <f>J4+J10+J17+J22+J33+J35+J37</f>
        <v>6389183.2999999998</v>
      </c>
      <c r="K39" s="7">
        <f>K4+K10+K17+K22+K29+K33+K35+K37</f>
        <v>6319622.3900000006</v>
      </c>
      <c r="M39" s="14"/>
      <c r="N39" s="14"/>
      <c r="O39" s="14"/>
      <c r="P39" s="14"/>
    </row>
    <row r="40" spans="1:16" s="3" customFormat="1" ht="15.75" x14ac:dyDescent="0.25">
      <c r="B40" s="5" t="s">
        <v>65</v>
      </c>
      <c r="J40" s="9">
        <f>ROUND(J39*7/100,2)</f>
        <v>447242.83</v>
      </c>
      <c r="K40" s="9">
        <f>ROUND(K39*7/100,2)</f>
        <v>442373.57</v>
      </c>
      <c r="M40" s="14"/>
      <c r="N40" s="14"/>
      <c r="O40" s="14"/>
      <c r="P40" s="14"/>
    </row>
    <row r="41" spans="1:16" s="3" customFormat="1" ht="15.75" x14ac:dyDescent="0.25">
      <c r="B41" s="6" t="s">
        <v>66</v>
      </c>
      <c r="C41" s="6"/>
      <c r="D41" s="6"/>
      <c r="J41" s="7">
        <f>SUM(J39:J40)</f>
        <v>6836426.1299999999</v>
      </c>
      <c r="K41" s="7">
        <f>SUM(K39:K40)</f>
        <v>6761995.9600000009</v>
      </c>
    </row>
    <row r="42" spans="1:16" s="3" customFormat="1" ht="15.75" x14ac:dyDescent="0.25">
      <c r="B42" s="18"/>
      <c r="C42" s="18"/>
      <c r="D42" s="18"/>
      <c r="J42" s="7"/>
      <c r="K42" s="7"/>
    </row>
    <row r="43" spans="1:16" s="5" customFormat="1" ht="15.75" x14ac:dyDescent="0.25">
      <c r="A43" s="5" t="s">
        <v>67</v>
      </c>
      <c r="B43" s="5" t="s">
        <v>68</v>
      </c>
      <c r="J43" s="7">
        <f>84660*12</f>
        <v>1015920</v>
      </c>
      <c r="K43" s="7">
        <f>253980.42+253980.42+256209.33+262452.98</f>
        <v>1026623.15</v>
      </c>
    </row>
    <row r="44" spans="1:16" s="5" customFormat="1" ht="15.75" x14ac:dyDescent="0.25">
      <c r="J44" s="7"/>
      <c r="K44" s="7"/>
    </row>
    <row r="45" spans="1:16" s="5" customFormat="1" ht="15.75" x14ac:dyDescent="0.25">
      <c r="B45" s="5" t="s">
        <v>69</v>
      </c>
      <c r="J45" s="7">
        <f>J41+J43</f>
        <v>7852346.1299999999</v>
      </c>
      <c r="K45" s="7">
        <f>K41+K43</f>
        <v>7788619.1100000013</v>
      </c>
    </row>
    <row r="46" spans="1:16" s="3" customFormat="1" ht="15.75" x14ac:dyDescent="0.25">
      <c r="B46" s="18"/>
      <c r="C46" s="18"/>
      <c r="D46" s="18"/>
      <c r="J46" s="7"/>
      <c r="K46" s="7"/>
    </row>
    <row r="47" spans="1:16" s="5" customFormat="1" ht="15.75" x14ac:dyDescent="0.25">
      <c r="A47" s="6" t="s">
        <v>70</v>
      </c>
      <c r="B47" s="6"/>
      <c r="C47" s="6"/>
      <c r="D47" s="6"/>
      <c r="J47" s="7"/>
      <c r="K47" s="7">
        <f>1934054.5+1934046.96+1945356.81+1945356.81</f>
        <v>7758815.0800000001</v>
      </c>
    </row>
    <row r="48" spans="1:16" s="5" customFormat="1" ht="15.75" x14ac:dyDescent="0.25">
      <c r="A48" s="6" t="s">
        <v>71</v>
      </c>
      <c r="B48" s="6"/>
      <c r="C48" s="6"/>
      <c r="D48" s="6"/>
      <c r="E48" s="6"/>
      <c r="F48" s="6"/>
      <c r="J48" s="7"/>
      <c r="K48" s="7">
        <f>7510353.55+14713.78</f>
        <v>7525067.3300000001</v>
      </c>
    </row>
    <row r="49" spans="1:11" s="3" customFormat="1" ht="15.75" x14ac:dyDescent="0.25">
      <c r="A49" s="5" t="s">
        <v>72</v>
      </c>
      <c r="K49" s="19">
        <f>21067.13+14820.86+15462.85+35534.57</f>
        <v>86885.41</v>
      </c>
    </row>
    <row r="50" spans="1:11" s="3" customFormat="1" ht="15.75" x14ac:dyDescent="0.25">
      <c r="A50" s="5" t="s">
        <v>73</v>
      </c>
      <c r="K50" s="20">
        <f>K48+K49-K41</f>
        <v>849956.77999999933</v>
      </c>
    </row>
    <row r="51" spans="1:11" s="3" customFormat="1" ht="15.75" x14ac:dyDescent="0.25">
      <c r="A51" s="5"/>
    </row>
    <row r="52" spans="1:11" s="3" customFormat="1" ht="15" x14ac:dyDescent="0.2">
      <c r="B52" s="3" t="s">
        <v>74</v>
      </c>
      <c r="J52" s="3" t="s">
        <v>75</v>
      </c>
    </row>
    <row r="53" spans="1:11" s="3" customFormat="1" ht="15" x14ac:dyDescent="0.2"/>
    <row r="54" spans="1:11" s="3" customFormat="1" ht="15" x14ac:dyDescent="0.2">
      <c r="B54" s="3" t="s">
        <v>76</v>
      </c>
      <c r="I54" s="21"/>
      <c r="J54" s="3" t="s">
        <v>77</v>
      </c>
    </row>
    <row r="55" spans="1:11" s="3" customFormat="1" ht="15" x14ac:dyDescent="0.2"/>
    <row r="56" spans="1:11" s="3" customFormat="1" ht="15" x14ac:dyDescent="0.2"/>
    <row r="57" spans="1:11" s="3" customFormat="1" ht="15" x14ac:dyDescent="0.2"/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19">
    <mergeCell ref="A48:F48"/>
    <mergeCell ref="C24:G24"/>
    <mergeCell ref="C25:F25"/>
    <mergeCell ref="B33:E33"/>
    <mergeCell ref="B35:F35"/>
    <mergeCell ref="B41:D41"/>
    <mergeCell ref="A47:D47"/>
    <mergeCell ref="C11:F11"/>
    <mergeCell ref="C12:H12"/>
    <mergeCell ref="C13:F13"/>
    <mergeCell ref="B17:H17"/>
    <mergeCell ref="C18:G18"/>
    <mergeCell ref="C19:G19"/>
    <mergeCell ref="A1:K1"/>
    <mergeCell ref="A2:K2"/>
    <mergeCell ref="B4:H4"/>
    <mergeCell ref="C6:F6"/>
    <mergeCell ref="C7:E7"/>
    <mergeCell ref="B10:F10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2021-03-26T10:34:43Z</dcterms:created>
  <dcterms:modified xsi:type="dcterms:W3CDTF">2021-03-26T10:34:46Z</dcterms:modified>
</cp:coreProperties>
</file>