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 s="1"/>
  <c r="K5" i="1"/>
  <c r="J6" i="1"/>
  <c r="J7" i="1"/>
  <c r="K7" i="1"/>
  <c r="J8" i="1"/>
  <c r="K8" i="1"/>
  <c r="K10" i="1"/>
  <c r="J11" i="1"/>
  <c r="J10" i="1" s="1"/>
  <c r="K11" i="1"/>
  <c r="J12" i="1"/>
  <c r="K12" i="1"/>
  <c r="J13" i="1"/>
  <c r="K13" i="1"/>
  <c r="J14" i="1"/>
  <c r="J16" i="1"/>
  <c r="J18" i="1"/>
  <c r="K18" i="1"/>
  <c r="K17" i="1" s="1"/>
  <c r="J19" i="1"/>
  <c r="J17" i="1" s="1"/>
  <c r="J20" i="1"/>
  <c r="K20" i="1"/>
  <c r="J22" i="1"/>
  <c r="K23" i="1"/>
  <c r="K24" i="1"/>
  <c r="K25" i="1"/>
  <c r="K22" i="1" s="1"/>
  <c r="K29" i="1"/>
  <c r="J31" i="1"/>
  <c r="J33" i="1"/>
  <c r="K33" i="1"/>
  <c r="J35" i="1"/>
  <c r="K35" i="1"/>
  <c r="J37" i="1"/>
  <c r="K37" i="1"/>
  <c r="J43" i="1"/>
  <c r="K43" i="1"/>
  <c r="K46" i="1"/>
  <c r="K47" i="1"/>
  <c r="K48" i="1"/>
  <c r="J39" i="1" l="1"/>
  <c r="K6" i="1"/>
  <c r="K4" i="1" s="1"/>
  <c r="K39" i="1" s="1"/>
  <c r="K40" i="1" l="1"/>
  <c r="K41" i="1" s="1"/>
  <c r="J40" i="1"/>
  <c r="J41" i="1" s="1"/>
  <c r="J45" i="1" s="1"/>
  <c r="K45" i="1" l="1"/>
  <c r="K49" i="1"/>
</calcChain>
</file>

<file path=xl/sharedStrings.xml><?xml version="1.0" encoding="utf-8"?>
<sst xmlns="http://schemas.openxmlformats.org/spreadsheetml/2006/main" count="79" uniqueCount="79">
  <si>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</si>
  <si>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</si>
  <si>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</si>
  <si>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</si>
  <si>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</si>
  <si>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</si>
  <si>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</si>
  <si>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</si>
  <si>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</si>
  <si>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</si>
  <si>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</si>
  <si>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</si>
  <si>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</si>
  <si>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</si>
  <si>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</si>
  <si>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</si>
  <si>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</si>
  <si>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</si>
  <si>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</si>
  <si>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</si>
  <si>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</si>
  <si>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</si>
  <si>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</si>
  <si>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</si>
  <si>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</si>
  <si>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</si>
  <si>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</si>
  <si>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</si>
  <si>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</si>
  <si>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</si>
  <si>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</si>
  <si>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</si>
  <si>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</si>
  <si>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</si>
  <si>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</si>
  <si>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</si>
  <si>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</si>
  <si>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</si>
  <si>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</si>
  <si>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</si>
  <si>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</si>
  <si>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</si>
  <si>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</si>
  <si>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</si>
  <si>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</si>
  <si>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</si>
  <si>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</si>
  <si>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</si>
  <si>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</si>
  <si>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</si>
  <si>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</si>
  <si>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</si>
  <si>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</si>
  <si>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</si>
  <si>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</si>
  <si>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</si>
  <si>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</si>
  <si>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</si>
  <si>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</si>
  <si>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</si>
  <si>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</si>
  <si>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</si>
  <si>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</si>
  <si>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Услуга гидроподъемника</t>
  </si>
  <si>
    <t>1.5.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</si>
  <si>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</si>
  <si>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</si>
  <si>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</si>
  <si>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</si>
  <si>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</si>
  <si>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</si>
  <si>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</si>
  <si>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</si>
  <si>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</si>
  <si>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</si>
  <si>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</si>
  <si>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</si>
  <si>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корп. 2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</si>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</sst>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5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1" customWidth="1"/>
    <col min="14" max="14" width="15" style="1" customWidth="1"/>
    <col min="15" max="15" width="9.140625" style="1"/>
  </cols>
  <sheetData>
    <row r="1" spans="1:15" s="21" customFormat="1" ht="18" x14ac:dyDescent="0.25">
      <c r="A1" s="23" t="s">
        <v>78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77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76</v>
      </c>
      <c r="K3" s="20" t="s">
        <v>75</v>
      </c>
      <c r="M3" s="3"/>
      <c r="N3" s="3"/>
      <c r="O3" s="3"/>
    </row>
    <row r="4" spans="1:15" s="2" customFormat="1" ht="15.75" x14ac:dyDescent="0.25">
      <c r="A4" s="6" t="s">
        <v>74</v>
      </c>
      <c r="B4" s="10" t="s">
        <v>73</v>
      </c>
      <c r="C4" s="10"/>
      <c r="D4" s="10"/>
      <c r="E4" s="10"/>
      <c r="F4" s="10"/>
      <c r="G4" s="10"/>
      <c r="H4" s="10"/>
      <c r="J4" s="9">
        <f>SUM(J5:J8)</f>
        <v>401420.81</v>
      </c>
      <c r="K4" s="9">
        <f>SUM(K5:K9)</f>
        <v>352800.18</v>
      </c>
      <c r="M4" s="3"/>
      <c r="N4" s="3"/>
      <c r="O4" s="3"/>
    </row>
    <row r="5" spans="1:15" s="2" customFormat="1" ht="15" x14ac:dyDescent="0.2">
      <c r="B5" s="2" t="s">
        <v>72</v>
      </c>
      <c r="C5" s="14" t="s">
        <v>71</v>
      </c>
      <c r="D5" s="14"/>
      <c r="E5" s="14"/>
      <c r="F5" s="14"/>
      <c r="J5" s="12">
        <f>22817*12</f>
        <v>273804</v>
      </c>
      <c r="K5" s="12">
        <f>60593.04+64966+59037.06+61927.6</f>
        <v>246523.7</v>
      </c>
      <c r="M5" s="3"/>
      <c r="N5" s="3"/>
      <c r="O5" s="3"/>
    </row>
    <row r="6" spans="1:15" s="2" customFormat="1" ht="15" x14ac:dyDescent="0.2">
      <c r="B6" s="2" t="s">
        <v>70</v>
      </c>
      <c r="C6" s="16" t="s">
        <v>69</v>
      </c>
      <c r="D6" s="16"/>
      <c r="E6" s="16"/>
      <c r="F6" s="16"/>
      <c r="J6" s="19">
        <f>ROUND(J5*30.2/100,2)</f>
        <v>82688.81</v>
      </c>
      <c r="K6" s="19">
        <f>ROUND(K5*30.2/100,2)</f>
        <v>74450.16</v>
      </c>
      <c r="M6" s="18"/>
    </row>
    <row r="7" spans="1:15" s="2" customFormat="1" ht="15" x14ac:dyDescent="0.2">
      <c r="B7" s="2" t="s">
        <v>68</v>
      </c>
      <c r="C7" s="16" t="s">
        <v>67</v>
      </c>
      <c r="D7" s="16"/>
      <c r="E7" s="16"/>
      <c r="J7" s="12">
        <f>1702*12</f>
        <v>20424</v>
      </c>
      <c r="K7" s="12">
        <f>2145.79+3725.58+928.32+2955.74</f>
        <v>9755.43</v>
      </c>
      <c r="M7" s="3"/>
      <c r="N7" s="3"/>
      <c r="O7" s="3"/>
    </row>
    <row r="8" spans="1:15" s="2" customFormat="1" ht="15" x14ac:dyDescent="0.2">
      <c r="B8" s="2" t="s">
        <v>66</v>
      </c>
      <c r="C8" s="2" t="s">
        <v>65</v>
      </c>
      <c r="J8" s="12">
        <f>2042*12</f>
        <v>24504</v>
      </c>
      <c r="K8" s="12">
        <f>3303.71+5621.17+3292.21+9853.8</f>
        <v>22070.89</v>
      </c>
      <c r="M8" s="3"/>
      <c r="N8" s="3"/>
      <c r="O8" s="3"/>
    </row>
    <row r="9" spans="1:15" s="2" customFormat="1" ht="15" x14ac:dyDescent="0.2">
      <c r="B9" s="2" t="s">
        <v>64</v>
      </c>
      <c r="C9" s="2" t="s">
        <v>63</v>
      </c>
      <c r="J9" s="12">
        <v>0</v>
      </c>
      <c r="K9" s="12"/>
      <c r="M9" s="3"/>
      <c r="N9" s="3"/>
      <c r="O9" s="3"/>
    </row>
    <row r="10" spans="1:15" s="2" customFormat="1" ht="15.75" x14ac:dyDescent="0.25">
      <c r="A10" s="6" t="s">
        <v>62</v>
      </c>
      <c r="B10" s="10" t="s">
        <v>61</v>
      </c>
      <c r="C10" s="10"/>
      <c r="D10" s="10"/>
      <c r="E10" s="10"/>
      <c r="F10" s="10"/>
      <c r="J10" s="9">
        <f>SUM(J11:J16)</f>
        <v>187956</v>
      </c>
      <c r="K10" s="9">
        <f>SUM(K11:K16)</f>
        <v>176657.61</v>
      </c>
      <c r="M10" s="3"/>
      <c r="N10" s="3"/>
      <c r="O10" s="3"/>
    </row>
    <row r="11" spans="1:15" s="2" customFormat="1" ht="15" x14ac:dyDescent="0.2">
      <c r="B11" s="2" t="s">
        <v>60</v>
      </c>
      <c r="C11" s="16" t="s">
        <v>59</v>
      </c>
      <c r="D11" s="16"/>
      <c r="E11" s="16"/>
      <c r="F11" s="16"/>
      <c r="J11" s="12">
        <f>598*12</f>
        <v>7176</v>
      </c>
      <c r="K11" s="12">
        <f>1830.62+1867.17+1867.17+1867.17</f>
        <v>7432.13</v>
      </c>
      <c r="M11" s="3"/>
      <c r="N11" s="3"/>
      <c r="O11" s="3"/>
    </row>
    <row r="12" spans="1:15" s="2" customFormat="1" ht="15" x14ac:dyDescent="0.2">
      <c r="B12" s="2" t="s">
        <v>58</v>
      </c>
      <c r="C12" s="16" t="s">
        <v>57</v>
      </c>
      <c r="D12" s="16"/>
      <c r="E12" s="16"/>
      <c r="F12" s="16"/>
      <c r="G12" s="16"/>
      <c r="H12" s="16"/>
      <c r="J12" s="12">
        <f>7403*12</f>
        <v>88836</v>
      </c>
      <c r="K12" s="12">
        <f>21201.4+21168.73+24616.18+22169.17</f>
        <v>89155.48</v>
      </c>
      <c r="M12" s="3"/>
      <c r="N12" s="3"/>
      <c r="O12" s="3"/>
    </row>
    <row r="13" spans="1:15" s="2" customFormat="1" ht="15" x14ac:dyDescent="0.2">
      <c r="B13" s="2" t="s">
        <v>56</v>
      </c>
      <c r="C13" s="16" t="s">
        <v>55</v>
      </c>
      <c r="D13" s="16"/>
      <c r="E13" s="16"/>
      <c r="F13" s="16"/>
      <c r="J13" s="12">
        <f>7067*12</f>
        <v>84804</v>
      </c>
      <c r="K13" s="17">
        <f>80070</f>
        <v>80070</v>
      </c>
      <c r="M13" s="3"/>
      <c r="N13" s="3"/>
      <c r="O13" s="3"/>
    </row>
    <row r="14" spans="1:15" s="2" customFormat="1" ht="15" x14ac:dyDescent="0.2">
      <c r="B14" s="2" t="s">
        <v>54</v>
      </c>
      <c r="C14" s="15" t="s">
        <v>53</v>
      </c>
      <c r="D14" s="15"/>
      <c r="E14" s="15"/>
      <c r="F14" s="15"/>
      <c r="J14" s="12">
        <f>502*12</f>
        <v>6024</v>
      </c>
      <c r="K14" s="12"/>
    </row>
    <row r="15" spans="1:15" s="2" customFormat="1" ht="15" x14ac:dyDescent="0.2">
      <c r="B15" s="2" t="s">
        <v>52</v>
      </c>
      <c r="C15" s="15" t="s">
        <v>51</v>
      </c>
      <c r="D15" s="15"/>
      <c r="E15" s="15"/>
      <c r="F15" s="15"/>
      <c r="J15" s="12">
        <v>0</v>
      </c>
      <c r="K15" s="12"/>
    </row>
    <row r="16" spans="1:15" s="2" customFormat="1" ht="15" x14ac:dyDescent="0.2">
      <c r="B16" s="2" t="s">
        <v>50</v>
      </c>
      <c r="C16" s="15" t="s">
        <v>49</v>
      </c>
      <c r="D16" s="15"/>
      <c r="E16" s="15"/>
      <c r="F16" s="15"/>
      <c r="J16" s="12">
        <f>93*12</f>
        <v>1116</v>
      </c>
      <c r="K16" s="12"/>
    </row>
    <row r="17" spans="1:15" s="2" customFormat="1" ht="15.75" x14ac:dyDescent="0.25">
      <c r="A17" s="6" t="s">
        <v>48</v>
      </c>
      <c r="B17" s="10" t="s">
        <v>47</v>
      </c>
      <c r="C17" s="10"/>
      <c r="D17" s="10"/>
      <c r="E17" s="10"/>
      <c r="F17" s="10"/>
      <c r="G17" s="10"/>
      <c r="H17" s="10"/>
      <c r="J17" s="9">
        <f>SUM(J18:J21)</f>
        <v>520860</v>
      </c>
      <c r="K17" s="9">
        <f>SUM(K18:K21)</f>
        <v>475385.36</v>
      </c>
      <c r="M17" s="3"/>
      <c r="N17" s="3"/>
      <c r="O17" s="3"/>
    </row>
    <row r="18" spans="1:15" s="2" customFormat="1" ht="15" x14ac:dyDescent="0.2">
      <c r="B18" s="15" t="s">
        <v>46</v>
      </c>
      <c r="C18" s="16" t="s">
        <v>45</v>
      </c>
      <c r="D18" s="16"/>
      <c r="E18" s="16"/>
      <c r="F18" s="16"/>
      <c r="G18" s="16"/>
      <c r="J18" s="12">
        <f>40072*12</f>
        <v>480864</v>
      </c>
      <c r="K18" s="12">
        <f>113537.36+120216+120216+120216</f>
        <v>474185.36</v>
      </c>
      <c r="M18" s="3"/>
      <c r="N18" s="3"/>
      <c r="O18" s="3"/>
    </row>
    <row r="19" spans="1:15" s="2" customFormat="1" ht="15" x14ac:dyDescent="0.2">
      <c r="B19" s="15" t="s">
        <v>44</v>
      </c>
      <c r="C19" s="16" t="s">
        <v>43</v>
      </c>
      <c r="D19" s="16"/>
      <c r="E19" s="16"/>
      <c r="F19" s="16"/>
      <c r="G19" s="16"/>
      <c r="H19" s="14"/>
      <c r="J19" s="12">
        <f>2958*12</f>
        <v>35496</v>
      </c>
      <c r="K19" s="12"/>
      <c r="M19" s="3"/>
      <c r="N19" s="3"/>
      <c r="O19" s="3"/>
    </row>
    <row r="20" spans="1:15" s="2" customFormat="1" ht="15" x14ac:dyDescent="0.2">
      <c r="B20" s="2" t="s">
        <v>42</v>
      </c>
      <c r="C20" s="2" t="s">
        <v>41</v>
      </c>
      <c r="J20" s="12">
        <f>375*12</f>
        <v>4500</v>
      </c>
      <c r="K20" s="12">
        <f>150*8</f>
        <v>1200</v>
      </c>
      <c r="M20" s="3"/>
      <c r="N20" s="3"/>
      <c r="O20" s="3"/>
    </row>
    <row r="21" spans="1:15" s="2" customFormat="1" ht="15" x14ac:dyDescent="0.2">
      <c r="B21" s="2" t="s">
        <v>40</v>
      </c>
      <c r="C21" s="2" t="s">
        <v>39</v>
      </c>
      <c r="J21" s="12">
        <v>0</v>
      </c>
      <c r="K21" s="12"/>
      <c r="M21" s="3"/>
      <c r="N21" s="3"/>
      <c r="O21" s="3"/>
    </row>
    <row r="22" spans="1:15" s="2" customFormat="1" ht="15.75" x14ac:dyDescent="0.25">
      <c r="A22" s="6" t="s">
        <v>38</v>
      </c>
      <c r="B22" s="13" t="s">
        <v>37</v>
      </c>
      <c r="C22" s="13"/>
      <c r="D22" s="13"/>
      <c r="J22" s="9">
        <f>62870*12</f>
        <v>754440</v>
      </c>
      <c r="K22" s="9">
        <f>SUM(K23:K27)</f>
        <v>1224270.03</v>
      </c>
      <c r="M22" s="3"/>
      <c r="N22" s="3"/>
      <c r="O22" s="3"/>
    </row>
    <row r="23" spans="1:15" s="2" customFormat="1" ht="15" x14ac:dyDescent="0.2">
      <c r="B23" s="2" t="s">
        <v>36</v>
      </c>
      <c r="C23" s="14" t="s">
        <v>35</v>
      </c>
      <c r="D23" s="14"/>
      <c r="J23" s="12"/>
      <c r="K23" s="12">
        <f>109589.15+336810.02+407598.07+120088.64</f>
        <v>974085.88</v>
      </c>
      <c r="M23" s="3"/>
      <c r="N23" s="3"/>
      <c r="O23" s="3"/>
    </row>
    <row r="24" spans="1:15" s="2" customFormat="1" ht="15" x14ac:dyDescent="0.2">
      <c r="B24" s="2" t="s">
        <v>34</v>
      </c>
      <c r="C24" s="16" t="s">
        <v>33</v>
      </c>
      <c r="D24" s="16"/>
      <c r="E24" s="16"/>
      <c r="F24" s="16"/>
      <c r="G24" s="16"/>
      <c r="J24" s="12"/>
      <c r="K24" s="12">
        <f>42249.75+36204.72+41824.11+40460.59</f>
        <v>160739.16999999998</v>
      </c>
      <c r="M24" s="3"/>
      <c r="N24" s="3"/>
      <c r="O24" s="3"/>
    </row>
    <row r="25" spans="1:15" s="2" customFormat="1" ht="15" x14ac:dyDescent="0.2">
      <c r="B25" s="2" t="s">
        <v>32</v>
      </c>
      <c r="C25" s="16" t="s">
        <v>31</v>
      </c>
      <c r="D25" s="16"/>
      <c r="E25" s="16"/>
      <c r="F25" s="16"/>
      <c r="G25" s="14"/>
      <c r="H25" s="14"/>
      <c r="J25" s="12"/>
      <c r="K25" s="12">
        <f>18719.27+22200.36+22007.56+20131.41</f>
        <v>83058.600000000006</v>
      </c>
      <c r="M25" s="3"/>
      <c r="N25" s="3"/>
      <c r="O25" s="3"/>
    </row>
    <row r="26" spans="1:15" s="2" customFormat="1" ht="15" x14ac:dyDescent="0.2">
      <c r="B26" s="2" t="s">
        <v>30</v>
      </c>
      <c r="C26" s="15" t="s">
        <v>29</v>
      </c>
      <c r="D26" s="15"/>
      <c r="E26" s="15"/>
      <c r="F26" s="15"/>
      <c r="G26" s="14"/>
      <c r="H26" s="14"/>
      <c r="J26" s="12"/>
      <c r="K26" s="12">
        <v>6386.38</v>
      </c>
      <c r="M26" s="3"/>
      <c r="N26" s="3"/>
      <c r="O26" s="3"/>
    </row>
    <row r="27" spans="1:15" s="2" customFormat="1" ht="15" x14ac:dyDescent="0.2">
      <c r="B27" s="2" t="s">
        <v>28</v>
      </c>
      <c r="C27" s="15" t="s">
        <v>27</v>
      </c>
      <c r="D27" s="15"/>
      <c r="E27" s="15"/>
      <c r="F27" s="15"/>
      <c r="G27" s="14"/>
      <c r="H27" s="14"/>
      <c r="J27" s="12"/>
      <c r="K27" s="12"/>
      <c r="M27" s="3"/>
      <c r="N27" s="3"/>
      <c r="O27" s="3"/>
    </row>
    <row r="28" spans="1:15" s="2" customFormat="1" ht="15" x14ac:dyDescent="0.2">
      <c r="B28" s="2" t="s">
        <v>26</v>
      </c>
      <c r="C28" s="15" t="s">
        <v>25</v>
      </c>
      <c r="D28" s="15"/>
      <c r="E28" s="15"/>
      <c r="F28" s="15"/>
      <c r="G28" s="14"/>
      <c r="H28" s="14"/>
      <c r="J28" s="12"/>
      <c r="K28" s="12">
        <v>47152.29</v>
      </c>
      <c r="M28" s="3"/>
      <c r="N28" s="3"/>
      <c r="O28" s="3"/>
    </row>
    <row r="29" spans="1:15" s="2" customFormat="1" ht="15.75" x14ac:dyDescent="0.25">
      <c r="A29" s="6" t="s">
        <v>24</v>
      </c>
      <c r="B29" s="13" t="s">
        <v>23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6"/>
      <c r="B30" s="14" t="s">
        <v>22</v>
      </c>
      <c r="C30" s="14" t="s">
        <v>21</v>
      </c>
      <c r="D30" s="14"/>
      <c r="J30" s="9">
        <v>0</v>
      </c>
      <c r="K30" s="12"/>
      <c r="M30" s="3"/>
      <c r="N30" s="3"/>
      <c r="O30" s="3"/>
    </row>
    <row r="31" spans="1:15" s="2" customFormat="1" ht="15.75" x14ac:dyDescent="0.25">
      <c r="A31" s="6"/>
      <c r="B31" s="14" t="s">
        <v>20</v>
      </c>
      <c r="C31" s="14" t="s">
        <v>19</v>
      </c>
      <c r="D31" s="14"/>
      <c r="J31" s="12">
        <f>J30*0.302</f>
        <v>0</v>
      </c>
      <c r="K31" s="12"/>
    </row>
    <row r="32" spans="1:15" s="2" customFormat="1" ht="15.75" x14ac:dyDescent="0.25">
      <c r="A32" s="6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6" t="s">
        <v>18</v>
      </c>
      <c r="B33" s="10" t="s">
        <v>17</v>
      </c>
      <c r="C33" s="10"/>
      <c r="D33" s="10"/>
      <c r="E33" s="10"/>
      <c r="J33" s="9">
        <f>41170*12</f>
        <v>494040</v>
      </c>
      <c r="K33" s="9">
        <f>90974.05+105345.87+63730.4+77245.29</f>
        <v>337295.61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6" t="s">
        <v>16</v>
      </c>
      <c r="B35" s="10" t="s">
        <v>15</v>
      </c>
      <c r="C35" s="10"/>
      <c r="D35" s="10"/>
      <c r="E35" s="10"/>
      <c r="F35" s="10"/>
      <c r="J35" s="9">
        <f>81820*12</f>
        <v>981840</v>
      </c>
      <c r="K35" s="9">
        <f>191623.82+194231.95+185913.36+171026.37</f>
        <v>742795.5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6" t="s">
        <v>14</v>
      </c>
      <c r="B37" s="6" t="s">
        <v>13</v>
      </c>
      <c r="J37" s="9">
        <f>5190*12</f>
        <v>62280</v>
      </c>
      <c r="K37" s="9">
        <f>56159.53+611.08</f>
        <v>56770.61</v>
      </c>
      <c r="M37" s="3"/>
      <c r="N37" s="3"/>
      <c r="O37" s="3"/>
    </row>
    <row r="38" spans="1:15" s="6" customFormat="1" ht="15.75" x14ac:dyDescent="0.25">
      <c r="J38" s="9"/>
      <c r="K38" s="9"/>
      <c r="M38" s="8"/>
      <c r="N38" s="8"/>
      <c r="O38" s="8"/>
    </row>
    <row r="39" spans="1:15" s="2" customFormat="1" ht="15.75" x14ac:dyDescent="0.25">
      <c r="B39" s="6" t="s">
        <v>12</v>
      </c>
      <c r="J39" s="9">
        <f>J4+J10+J17+J22+J29+J33+J35+J37</f>
        <v>3402836.81</v>
      </c>
      <c r="K39" s="9">
        <f>K4+K10+K17+K22+K29+K33+K35+K37</f>
        <v>3365974.9</v>
      </c>
      <c r="M39" s="3"/>
      <c r="N39" s="3"/>
      <c r="O39" s="3"/>
    </row>
    <row r="40" spans="1:15" s="2" customFormat="1" ht="15.75" x14ac:dyDescent="0.25">
      <c r="B40" s="6" t="s">
        <v>11</v>
      </c>
      <c r="J40" s="12">
        <f>ROUND(J39*7/100,2)</f>
        <v>238198.58</v>
      </c>
      <c r="K40" s="12">
        <f>ROUND(K39*7/100,2)</f>
        <v>235618.24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3641035.39</v>
      </c>
      <c r="K41" s="9">
        <f>SUM(K39:K40)</f>
        <v>3601593.1399999997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6" t="s">
        <v>9</v>
      </c>
      <c r="B43" s="11" t="s">
        <v>8</v>
      </c>
      <c r="C43" s="11"/>
      <c r="D43" s="11"/>
      <c r="J43" s="9">
        <f>46540*12</f>
        <v>558480</v>
      </c>
      <c r="K43" s="9">
        <f>139619.04+139619.04+140840.9+144273.51</f>
        <v>564352.49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7</v>
      </c>
      <c r="C45" s="11"/>
      <c r="D45" s="11"/>
      <c r="J45" s="9">
        <f>J43+J41</f>
        <v>4199515.3900000006</v>
      </c>
      <c r="K45" s="9">
        <f>K41+K43</f>
        <v>4165945.63</v>
      </c>
      <c r="M45" s="3"/>
      <c r="N45" s="3"/>
      <c r="O45" s="3"/>
    </row>
    <row r="46" spans="1:15" s="6" customFormat="1" ht="15.75" x14ac:dyDescent="0.25">
      <c r="A46" s="10" t="s">
        <v>6</v>
      </c>
      <c r="B46" s="10"/>
      <c r="C46" s="10"/>
      <c r="D46" s="10"/>
      <c r="J46" s="9"/>
      <c r="K46" s="9">
        <f>1033715.88+1033715.88+1039856.49+1039856.49</f>
        <v>4147144.74</v>
      </c>
      <c r="M46" s="8"/>
      <c r="N46" s="8"/>
      <c r="O46" s="8"/>
    </row>
    <row r="47" spans="1:15" s="6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2034.03+3930968.95</f>
        <v>3933002.98</v>
      </c>
      <c r="M47" s="8"/>
      <c r="N47" s="8"/>
      <c r="O47" s="8"/>
    </row>
    <row r="48" spans="1:15" s="2" customFormat="1" ht="15.75" x14ac:dyDescent="0.25">
      <c r="A48" s="6" t="s">
        <v>4</v>
      </c>
      <c r="K48" s="7">
        <f>13315.53+9545.62+10280.61+21371.37</f>
        <v>54513.130000000005</v>
      </c>
      <c r="M48" s="3"/>
      <c r="N48" s="3"/>
      <c r="O48" s="3"/>
    </row>
    <row r="49" spans="1:15" s="2" customFormat="1" ht="15.75" x14ac:dyDescent="0.25">
      <c r="A49" s="6" t="s">
        <v>3</v>
      </c>
      <c r="K49" s="5">
        <f>K47+K48-K41</f>
        <v>385922.9700000002</v>
      </c>
      <c r="M49" s="3"/>
      <c r="N49" s="3"/>
      <c r="O49" s="3"/>
    </row>
    <row r="50" spans="1:15" s="2" customFormat="1" ht="15" x14ac:dyDescent="0.2"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J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1:K1"/>
    <mergeCell ref="A2:K2"/>
    <mergeCell ref="C7:E7"/>
    <mergeCell ref="B4:H4"/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2021-03-26T10:41:42Z</dcterms:created>
  <dcterms:modified xsi:type="dcterms:W3CDTF">2021-03-26T10:41:48Z</dcterms:modified>
</cp:coreProperties>
</file>