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Отчеты о выпол. работ 2019\"/>
    </mc:Choice>
  </mc:AlternateContent>
  <bookViews>
    <workbookView xWindow="0" yWindow="0" windowWidth="19200" windowHeight="11595"/>
  </bookViews>
  <sheets>
    <sheet name="Дружба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1" l="1"/>
  <c r="K47" i="1"/>
  <c r="K42" i="1"/>
  <c r="J42" i="1"/>
  <c r="K40" i="1"/>
  <c r="J40" i="1"/>
  <c r="K38" i="1"/>
  <c r="J38" i="1"/>
  <c r="K37" i="1"/>
  <c r="J37" i="1"/>
  <c r="K36" i="1"/>
  <c r="J36" i="1"/>
  <c r="K29" i="1"/>
  <c r="K28" i="1"/>
  <c r="K27" i="1"/>
  <c r="K26" i="1"/>
  <c r="K25" i="1"/>
  <c r="J25" i="1"/>
  <c r="K23" i="1"/>
  <c r="J23" i="1"/>
  <c r="K22" i="1"/>
  <c r="J22" i="1"/>
  <c r="K21" i="1"/>
  <c r="J21" i="1"/>
  <c r="K20" i="1"/>
  <c r="J20" i="1"/>
  <c r="K19" i="1"/>
  <c r="J19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9" i="1"/>
  <c r="J9" i="1"/>
  <c r="K8" i="1"/>
  <c r="J8" i="1"/>
  <c r="K7" i="1"/>
  <c r="J7" i="1"/>
  <c r="K5" i="1"/>
  <c r="K6" i="1" s="1"/>
  <c r="K4" i="1" s="1"/>
  <c r="K43" i="1" s="1"/>
  <c r="J5" i="1"/>
  <c r="J6" i="1" s="1"/>
  <c r="J4" i="1" s="1"/>
  <c r="J43" i="1" s="1"/>
  <c r="J45" i="1" l="1"/>
  <c r="J44" i="1"/>
  <c r="K45" i="1"/>
  <c r="K44" i="1"/>
</calcChain>
</file>

<file path=xl/sharedStrings.xml><?xml version="1.0" encoding="utf-8"?>
<sst xmlns="http://schemas.openxmlformats.org/spreadsheetml/2006/main" count="74" uniqueCount="74">
  <si>
    <t xml:space="preserve">ОТЧЁТ по расходам на обслуживание </t>
  </si>
  <si>
    <t>ТСЖ "Дружба", ул. Новосёлов д. 58 кор. 3-6 за январь-декабрь 2019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</si>
  <si>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</si>
  <si>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</si>
  <si>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</si>
  <si>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</si>
  <si>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</si>
  <si>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</si>
  <si>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</si>
  <si>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30.2%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</si>
  <si>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</si>
  <si>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</si>
  <si>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</si>
  <si>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</si>
  <si>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</si>
  <si>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</si>
  <si>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</si>
  <si>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</si>
  <si>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</si>
  <si>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</si>
  <si>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</si>
  <si>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</si>
  <si>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</si>
  <si>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</si>
  <si>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</si>
  <si>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</si>
  <si>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</si>
  <si>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</si>
  <si>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</si>
  <si>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</si>
  <si>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</si>
  <si>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</si>
  <si>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2.8.</t>
  </si>
  <si>
    <t>Испытание и измерение электрооб.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</si>
  <si>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</si>
  <si>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</si>
  <si>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</si>
  <si>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</si>
  <si>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</si>
  <si>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</si>
  <si>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</si>
  <si>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</si>
  <si>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3.4.</t>
  </si>
  <si>
    <t>Оценка соответствия лифтов, отраб. срок служ.</t>
  </si>
  <si>
    <t>4.</t>
  </si>
  <si>
    <t>Тех. обслуж. и тек. ремонт общедом. имущества</t>
  </si>
  <si>
    <t>4.1.</t>
  </si>
  <si>
    <t>ППР (акты Ф-2)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</si>
  <si>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</si>
  <si>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</si>
  <si>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</si>
  <si>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</si>
  <si>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</si>
  <si>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</si>
  <si>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</si>
  <si>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4.6.</t>
  </si>
  <si>
    <t>5.</t>
  </si>
  <si>
    <t>Прочие прямые затраты:</t>
  </si>
  <si>
    <t>в том числе вознаграждение председ. правл. ЖСК</t>
  </si>
  <si>
    <t>6.</t>
  </si>
  <si>
    <t>Общеэксплуатационные расходы:</t>
  </si>
  <si>
    <t>7.</t>
  </si>
  <si>
    <t>Внеэксплуатационные расходы:</t>
  </si>
  <si>
    <t>8.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</si>
  <si>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</si>
  <si>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</si>
  <si>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</si>
  <si>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</si>
  <si>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</si>
  <si>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</si>
  <si>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Директор ООО "Вектор Плюс"</t>
  </si>
  <si>
    <t>Радин В. Е.</t>
  </si>
  <si>
    <t>Председатель ТСЖ "Дружба"</t>
  </si>
  <si>
    <t>Кузнецов С. 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</si>
</sst>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6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i/>
      <sz val="12"/>
      <name val="Arial Cyr"/>
      <charset val="204"/>
    </font>
    <font>
      <i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>
      <alignment horizontal="left"/>
    </xf>
    <xf numFmtId="164" fontId="2" fillId="0" borderId="1" xfId="0" applyNumberFormat="1" applyFont="1" applyBorder="1"/>
    <xf numFmtId="165" fontId="2" fillId="0" borderId="1" xfId="0" applyNumberFormat="1" applyFont="1" applyBorder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4" fontId="3" fillId="0" borderId="1" xfId="0" applyNumberFormat="1" applyFont="1" applyBorder="1" applyAlignment="1">
      <alignment horizontal="center"/>
    </xf>
    <xf numFmtId="4" fontId="3" fillId="0" borderId="0" xfId="0" applyNumberFormat="1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5"/>
  <sheetViews>
    <sheetView tabSelected="1" workbookViewId="0">
      <selection activeCell="K39" sqref="K39"/>
    </sheetView>
  </sheetViews>
  <sheetFormatPr defaultRowHeight="12.75" x14ac:dyDescent="0.2"/>
  <cols>
    <col min="1" max="1" width="2.85546875" customWidth="1"/>
    <col min="2" max="2" width="5.140625" customWidth="1"/>
    <col min="3" max="5" width="8.5703125" customWidth="1"/>
    <col min="7" max="7" width="8.5703125" customWidth="1"/>
    <col min="8" max="8" width="7.5703125" customWidth="1"/>
    <col min="9" max="9" width="1.42578125" customWidth="1"/>
    <col min="10" max="11" width="17.7109375" customWidth="1"/>
    <col min="12" max="12" width="3.140625" customWidth="1"/>
    <col min="13" max="13" width="19.28515625" style="22" customWidth="1"/>
    <col min="14" max="14" width="14.85546875" style="22" customWidth="1"/>
    <col min="15" max="15" width="9.140625" style="22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307741.24</v>
      </c>
      <c r="K4" s="9">
        <f>SUM(K5:K9)</f>
        <v>337313.08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17135*12</f>
        <v>205620</v>
      </c>
      <c r="K5" s="11">
        <f>63698.8+63231.37+47376.22+48949.62</f>
        <v>223256.01</v>
      </c>
      <c r="M5" s="6"/>
      <c r="N5" s="6"/>
      <c r="O5" s="6"/>
    </row>
    <row r="6" spans="1:15" s="4" customFormat="1" ht="15" x14ac:dyDescent="0.2">
      <c r="B6" s="4" t="s">
        <v>8</v>
      </c>
      <c r="C6" s="10" t="s">
        <v>9</v>
      </c>
      <c r="D6" s="10"/>
      <c r="E6" s="10"/>
      <c r="F6" s="10"/>
      <c r="J6" s="12">
        <f>ROUND(J5*30.2/100,2)</f>
        <v>62097.24</v>
      </c>
      <c r="K6" s="12">
        <f>ROUND(K5*30.2/100,2)</f>
        <v>67423.320000000007</v>
      </c>
      <c r="M6" s="13"/>
    </row>
    <row r="7" spans="1:15" s="4" customFormat="1" ht="15" x14ac:dyDescent="0.2">
      <c r="B7" s="4" t="s">
        <v>10</v>
      </c>
      <c r="C7" s="10" t="s">
        <v>11</v>
      </c>
      <c r="D7" s="10"/>
      <c r="E7" s="10"/>
      <c r="J7" s="11">
        <f>567*10+851*2</f>
        <v>7372</v>
      </c>
      <c r="K7" s="11">
        <f>5391.78+880.24+2749.52+4519.32</f>
        <v>13540.859999999999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2533*10</f>
        <v>25330</v>
      </c>
      <c r="K8" s="11">
        <f>8826.56+5427.47+6861.11+2059.82</f>
        <v>23174.959999999999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528*10+1021*2</f>
        <v>7322</v>
      </c>
      <c r="K9" s="11">
        <f>5341.53+942.72+128.04+3505.64</f>
        <v>9917.93</v>
      </c>
      <c r="M9" s="6"/>
      <c r="N9" s="6"/>
      <c r="O9" s="6"/>
    </row>
    <row r="10" spans="1:15" s="4" customFormat="1" ht="15" x14ac:dyDescent="0.2">
      <c r="J10" s="11"/>
      <c r="K10" s="11"/>
      <c r="M10" s="6"/>
      <c r="N10" s="6"/>
      <c r="O10" s="6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SUM(J12:J19)</f>
        <v>232834</v>
      </c>
      <c r="K11" s="9">
        <f>SUM(K12:K19)</f>
        <v>239742.65000000002</v>
      </c>
      <c r="M11" s="6"/>
      <c r="N11" s="6"/>
      <c r="O11" s="6"/>
    </row>
    <row r="12" spans="1:15" s="4" customFormat="1" ht="15" x14ac:dyDescent="0.2">
      <c r="B12" s="14" t="s">
        <v>18</v>
      </c>
      <c r="C12" s="10" t="s">
        <v>19</v>
      </c>
      <c r="D12" s="10"/>
      <c r="E12" s="14"/>
      <c r="F12" s="14"/>
      <c r="J12" s="11">
        <f>7090*10</f>
        <v>70900</v>
      </c>
      <c r="K12" s="11">
        <f>25263.83+16429.98+17599.18+6409.05</f>
        <v>65702.039999999994</v>
      </c>
      <c r="M12" s="6"/>
      <c r="N12" s="6"/>
      <c r="O12" s="6"/>
    </row>
    <row r="13" spans="1:15" s="4" customFormat="1" ht="15" x14ac:dyDescent="0.2">
      <c r="B13" s="4" t="s">
        <v>20</v>
      </c>
      <c r="C13" s="10" t="s">
        <v>21</v>
      </c>
      <c r="D13" s="10"/>
      <c r="E13" s="10"/>
      <c r="J13" s="11">
        <f>7452*10</f>
        <v>74520</v>
      </c>
      <c r="K13" s="11">
        <f>20768.52+25207.89+27821.86+10269.08</f>
        <v>84067.35</v>
      </c>
      <c r="M13" s="6"/>
      <c r="N13" s="6"/>
      <c r="O13" s="6"/>
    </row>
    <row r="14" spans="1:15" s="4" customFormat="1" ht="15" x14ac:dyDescent="0.2">
      <c r="B14" s="4" t="s">
        <v>22</v>
      </c>
      <c r="C14" s="10" t="s">
        <v>23</v>
      </c>
      <c r="D14" s="10"/>
      <c r="E14" s="10"/>
      <c r="F14" s="10"/>
      <c r="J14" s="11">
        <f>284*10+298*2</f>
        <v>3436</v>
      </c>
      <c r="K14" s="11">
        <f>866.76+866.76+866.76+866.76</f>
        <v>3467.04</v>
      </c>
      <c r="M14" s="6"/>
      <c r="N14" s="6"/>
      <c r="O14" s="6"/>
    </row>
    <row r="15" spans="1:15" s="4" customFormat="1" ht="15" x14ac:dyDescent="0.2">
      <c r="B15" s="4" t="s">
        <v>24</v>
      </c>
      <c r="C15" s="10" t="s">
        <v>25</v>
      </c>
      <c r="D15" s="10"/>
      <c r="E15" s="10"/>
      <c r="F15" s="10"/>
      <c r="G15" s="10"/>
      <c r="H15" s="10"/>
      <c r="J15" s="11">
        <f>3107*10+3703*2</f>
        <v>38476</v>
      </c>
      <c r="K15" s="11">
        <f>10815.32+11615.16+11368.32+9747.42</f>
        <v>43546.22</v>
      </c>
      <c r="M15" s="6"/>
      <c r="N15" s="6"/>
      <c r="O15" s="6"/>
    </row>
    <row r="16" spans="1:15" s="4" customFormat="1" ht="15" x14ac:dyDescent="0.2">
      <c r="B16" s="4" t="s">
        <v>26</v>
      </c>
      <c r="C16" s="10" t="s">
        <v>27</v>
      </c>
      <c r="D16" s="10"/>
      <c r="E16" s="15"/>
      <c r="F16" s="15"/>
      <c r="J16" s="11">
        <f>3533*12</f>
        <v>42396</v>
      </c>
      <c r="K16" s="11">
        <f>42400+0</f>
        <v>42400</v>
      </c>
      <c r="M16" s="6"/>
      <c r="N16" s="6"/>
      <c r="O16" s="6"/>
    </row>
    <row r="17" spans="1:15" s="4" customFormat="1" ht="15" x14ac:dyDescent="0.2">
      <c r="B17" s="4" t="s">
        <v>28</v>
      </c>
      <c r="C17" s="14" t="s">
        <v>29</v>
      </c>
      <c r="D17" s="14"/>
      <c r="E17" s="14"/>
      <c r="F17" s="14"/>
      <c r="J17" s="11">
        <f>251*12</f>
        <v>3012</v>
      </c>
      <c r="K17" s="11">
        <f>0</f>
        <v>0</v>
      </c>
    </row>
    <row r="18" spans="1:15" s="4" customFormat="1" ht="15" x14ac:dyDescent="0.2">
      <c r="B18" s="4" t="s">
        <v>30</v>
      </c>
      <c r="C18" s="14" t="s">
        <v>31</v>
      </c>
      <c r="D18" s="14"/>
      <c r="E18" s="15"/>
      <c r="F18" s="15"/>
      <c r="J18" s="11">
        <v>0</v>
      </c>
      <c r="K18" s="11"/>
      <c r="M18" s="6"/>
      <c r="N18" s="6"/>
      <c r="O18" s="6"/>
    </row>
    <row r="19" spans="1:15" s="4" customFormat="1" ht="15" x14ac:dyDescent="0.2">
      <c r="B19" s="4" t="s">
        <v>32</v>
      </c>
      <c r="C19" s="14" t="s">
        <v>33</v>
      </c>
      <c r="D19" s="14"/>
      <c r="E19" s="14"/>
      <c r="F19" s="14"/>
      <c r="J19" s="11">
        <f>47*2</f>
        <v>94</v>
      </c>
      <c r="K19" s="11">
        <f>140*4</f>
        <v>560</v>
      </c>
    </row>
    <row r="20" spans="1:15" s="4" customFormat="1" ht="15.75" x14ac:dyDescent="0.25">
      <c r="A20" s="7" t="s">
        <v>34</v>
      </c>
      <c r="B20" s="8" t="s">
        <v>35</v>
      </c>
      <c r="C20" s="8"/>
      <c r="D20" s="8"/>
      <c r="E20" s="8"/>
      <c r="F20" s="8"/>
      <c r="G20" s="8"/>
      <c r="H20" s="8"/>
      <c r="J20" s="9">
        <f>SUM(J21:J24)</f>
        <v>260688</v>
      </c>
      <c r="K20" s="9">
        <f>SUM(K21:K24)</f>
        <v>226790.26</v>
      </c>
      <c r="M20" s="6"/>
      <c r="N20" s="6"/>
      <c r="O20" s="6"/>
    </row>
    <row r="21" spans="1:15" s="4" customFormat="1" ht="15" x14ac:dyDescent="0.2">
      <c r="B21" s="14" t="s">
        <v>36</v>
      </c>
      <c r="C21" s="10" t="s">
        <v>37</v>
      </c>
      <c r="D21" s="10"/>
      <c r="E21" s="10"/>
      <c r="F21" s="10"/>
      <c r="G21" s="10"/>
      <c r="J21" s="11">
        <f>20036*12</f>
        <v>240432</v>
      </c>
      <c r="K21" s="11">
        <f>60108+60108+60108+28718.26</f>
        <v>209042.26</v>
      </c>
      <c r="M21" s="6"/>
      <c r="N21" s="6"/>
      <c r="O21" s="6"/>
    </row>
    <row r="22" spans="1:15" s="4" customFormat="1" ht="15" x14ac:dyDescent="0.2">
      <c r="B22" s="14" t="s">
        <v>38</v>
      </c>
      <c r="C22" s="10" t="s">
        <v>39</v>
      </c>
      <c r="D22" s="10"/>
      <c r="E22" s="10"/>
      <c r="F22" s="10"/>
      <c r="G22" s="10"/>
      <c r="H22" s="10"/>
      <c r="J22" s="11">
        <f>1479*12</f>
        <v>17748</v>
      </c>
      <c r="K22" s="11">
        <f>17748+0</f>
        <v>17748</v>
      </c>
      <c r="M22" s="6"/>
      <c r="N22" s="6"/>
      <c r="O22" s="6"/>
    </row>
    <row r="23" spans="1:15" s="4" customFormat="1" ht="15" x14ac:dyDescent="0.2">
      <c r="B23" s="4" t="s">
        <v>40</v>
      </c>
      <c r="C23" s="4" t="s">
        <v>41</v>
      </c>
      <c r="J23" s="11">
        <f>209*12</f>
        <v>2508</v>
      </c>
      <c r="K23" s="11">
        <f>0+0</f>
        <v>0</v>
      </c>
      <c r="M23" s="6"/>
      <c r="N23" s="6"/>
      <c r="O23" s="6"/>
    </row>
    <row r="24" spans="1:15" s="4" customFormat="1" ht="15" x14ac:dyDescent="0.2">
      <c r="B24" s="4" t="s">
        <v>42</v>
      </c>
      <c r="C24" s="4" t="s">
        <v>43</v>
      </c>
      <c r="J24" s="11">
        <v>0</v>
      </c>
      <c r="K24" s="11"/>
      <c r="M24" s="6"/>
      <c r="N24" s="6"/>
      <c r="O24" s="6"/>
    </row>
    <row r="25" spans="1:15" s="4" customFormat="1" ht="15.75" x14ac:dyDescent="0.25">
      <c r="A25" s="7" t="s">
        <v>44</v>
      </c>
      <c r="B25" s="16" t="s">
        <v>45</v>
      </c>
      <c r="C25" s="16"/>
      <c r="D25" s="16"/>
      <c r="J25" s="9">
        <f>21160*6+20760*4+27760*2</f>
        <v>265520</v>
      </c>
      <c r="K25" s="9">
        <f>SUM(K26:K30)</f>
        <v>264047.28000000003</v>
      </c>
      <c r="M25" s="6"/>
      <c r="N25" s="6"/>
      <c r="O25" s="6"/>
    </row>
    <row r="26" spans="1:15" s="4" customFormat="1" ht="15" x14ac:dyDescent="0.2">
      <c r="B26" s="4" t="s">
        <v>46</v>
      </c>
      <c r="C26" s="10" t="s">
        <v>47</v>
      </c>
      <c r="D26" s="10"/>
      <c r="J26" s="11"/>
      <c r="K26" s="11">
        <f>10866.89+13026.65+100294.72+4563.5</f>
        <v>128751.76000000001</v>
      </c>
      <c r="M26" s="6"/>
      <c r="N26" s="6"/>
      <c r="O26" s="6"/>
    </row>
    <row r="27" spans="1:15" s="4" customFormat="1" ht="15" x14ac:dyDescent="0.2">
      <c r="B27" s="4" t="s">
        <v>48</v>
      </c>
      <c r="C27" s="10" t="s">
        <v>49</v>
      </c>
      <c r="D27" s="10"/>
      <c r="E27" s="10"/>
      <c r="F27" s="10"/>
      <c r="G27" s="10"/>
      <c r="J27" s="11"/>
      <c r="K27" s="11">
        <f>25636.12+20505.14+23117.48+26524.72</f>
        <v>95783.459999999992</v>
      </c>
      <c r="M27" s="6"/>
      <c r="N27" s="6"/>
      <c r="O27" s="6"/>
    </row>
    <row r="28" spans="1:15" s="4" customFormat="1" ht="15" x14ac:dyDescent="0.2">
      <c r="B28" s="4" t="s">
        <v>50</v>
      </c>
      <c r="C28" s="10" t="s">
        <v>51</v>
      </c>
      <c r="D28" s="10"/>
      <c r="E28" s="10"/>
      <c r="F28" s="10"/>
      <c r="G28" s="10"/>
      <c r="H28" s="10"/>
      <c r="J28" s="11"/>
      <c r="K28" s="11">
        <f>6731.08+6829.82+6662.71+11888.45</f>
        <v>32112.06</v>
      </c>
      <c r="M28" s="6"/>
      <c r="N28" s="6"/>
      <c r="O28" s="6"/>
    </row>
    <row r="29" spans="1:15" s="4" customFormat="1" ht="15" x14ac:dyDescent="0.2">
      <c r="B29" s="4" t="s">
        <v>52</v>
      </c>
      <c r="C29" s="14" t="s">
        <v>53</v>
      </c>
      <c r="D29" s="14"/>
      <c r="E29" s="14"/>
      <c r="F29" s="14"/>
      <c r="G29" s="15"/>
      <c r="H29" s="15"/>
      <c r="J29" s="11"/>
      <c r="K29" s="11">
        <f>200*37</f>
        <v>7400</v>
      </c>
      <c r="M29" s="6"/>
      <c r="N29" s="6"/>
      <c r="O29" s="6"/>
    </row>
    <row r="30" spans="1:15" s="4" customFormat="1" ht="15" x14ac:dyDescent="0.2">
      <c r="B30" s="4" t="s">
        <v>54</v>
      </c>
      <c r="C30" s="14"/>
      <c r="D30" s="14"/>
      <c r="E30" s="14"/>
      <c r="F30" s="14"/>
      <c r="G30" s="15"/>
      <c r="H30" s="15"/>
      <c r="J30" s="11"/>
      <c r="K30" s="11"/>
    </row>
    <row r="31" spans="1:15" s="4" customFormat="1" ht="15.75" x14ac:dyDescent="0.25">
      <c r="A31" s="7"/>
      <c r="B31" s="4" t="s">
        <v>55</v>
      </c>
      <c r="C31" s="16"/>
      <c r="D31" s="16"/>
      <c r="J31" s="9"/>
      <c r="K31" s="9"/>
      <c r="M31" s="6"/>
      <c r="N31" s="6"/>
      <c r="O31" s="6"/>
    </row>
    <row r="32" spans="1:15" s="4" customFormat="1" ht="15.75" x14ac:dyDescent="0.25">
      <c r="A32" s="7"/>
      <c r="B32" s="17"/>
      <c r="C32" s="17"/>
      <c r="D32" s="17"/>
      <c r="J32" s="9"/>
      <c r="K32" s="9"/>
      <c r="M32" s="6"/>
      <c r="N32" s="6"/>
      <c r="O32" s="6"/>
    </row>
    <row r="33" spans="1:15" s="4" customFormat="1" ht="15.75" x14ac:dyDescent="0.25">
      <c r="A33" s="7"/>
      <c r="B33" s="14"/>
      <c r="C33" s="14"/>
      <c r="D33" s="14"/>
      <c r="J33" s="9"/>
      <c r="K33" s="9"/>
      <c r="M33" s="6"/>
      <c r="N33" s="6"/>
      <c r="O33" s="6"/>
    </row>
    <row r="34" spans="1:15" s="4" customFormat="1" ht="15.75" x14ac:dyDescent="0.25">
      <c r="A34" s="7"/>
      <c r="B34" s="14"/>
      <c r="C34" s="14"/>
      <c r="D34" s="14"/>
      <c r="J34" s="11"/>
      <c r="K34" s="11"/>
      <c r="M34" s="6"/>
      <c r="N34" s="6"/>
      <c r="O34" s="6"/>
    </row>
    <row r="35" spans="1:15" s="4" customFormat="1" ht="15.75" x14ac:dyDescent="0.25">
      <c r="A35" s="7"/>
      <c r="B35" s="18"/>
      <c r="C35" s="18"/>
      <c r="D35" s="18"/>
      <c r="E35" s="19"/>
      <c r="F35" s="19"/>
      <c r="G35" s="19"/>
      <c r="J35" s="9"/>
      <c r="K35" s="9"/>
      <c r="M35" s="6"/>
      <c r="N35" s="6"/>
      <c r="O35" s="6"/>
    </row>
    <row r="36" spans="1:15" s="4" customFormat="1" ht="15.75" x14ac:dyDescent="0.25">
      <c r="A36" s="7" t="s">
        <v>56</v>
      </c>
      <c r="B36" s="8" t="s">
        <v>57</v>
      </c>
      <c r="C36" s="8"/>
      <c r="D36" s="8"/>
      <c r="E36" s="8"/>
      <c r="J36" s="9">
        <f>24790*6+25190*4+26560*2</f>
        <v>302620</v>
      </c>
      <c r="K36" s="9">
        <f>K37+43596.67+34990.76+40826.18+12475.13+28165.64</f>
        <v>303634.38</v>
      </c>
      <c r="M36" s="6"/>
      <c r="N36" s="6"/>
      <c r="O36" s="6"/>
    </row>
    <row r="37" spans="1:15" s="4" customFormat="1" ht="15" x14ac:dyDescent="0.2">
      <c r="B37" s="4" t="s">
        <v>58</v>
      </c>
      <c r="J37" s="11">
        <f>12620*6+13020*6</f>
        <v>153840</v>
      </c>
      <c r="K37" s="11">
        <f>50480+37860+25240+30000</f>
        <v>143580</v>
      </c>
      <c r="M37" s="6"/>
      <c r="N37" s="6"/>
      <c r="O37" s="6"/>
    </row>
    <row r="38" spans="1:15" s="4" customFormat="1" ht="15.75" x14ac:dyDescent="0.25">
      <c r="A38" s="7" t="s">
        <v>59</v>
      </c>
      <c r="B38" s="8" t="s">
        <v>60</v>
      </c>
      <c r="C38" s="8"/>
      <c r="D38" s="8"/>
      <c r="E38" s="8"/>
      <c r="F38" s="8"/>
      <c r="J38" s="9">
        <f>25010*10+28510*2</f>
        <v>307120</v>
      </c>
      <c r="K38" s="20">
        <f>81945.48+84232.51+76358.59+26465.66+52431.03</f>
        <v>321433.27</v>
      </c>
      <c r="M38" s="6"/>
      <c r="N38" s="6"/>
      <c r="O38" s="6"/>
    </row>
    <row r="39" spans="1:15" s="4" customFormat="1" ht="15" x14ac:dyDescent="0.2">
      <c r="J39" s="11"/>
      <c r="K39" s="11"/>
      <c r="M39" s="6"/>
      <c r="N39" s="6"/>
      <c r="O39" s="6"/>
    </row>
    <row r="40" spans="1:15" s="4" customFormat="1" ht="15.75" x14ac:dyDescent="0.25">
      <c r="A40" s="7" t="s">
        <v>61</v>
      </c>
      <c r="B40" s="7" t="s">
        <v>62</v>
      </c>
      <c r="J40" s="9">
        <f>2590*12</f>
        <v>31080</v>
      </c>
      <c r="K40" s="9">
        <f>27178.61+479.33+13.62+0</f>
        <v>27671.56</v>
      </c>
      <c r="M40" s="6"/>
      <c r="N40" s="6"/>
      <c r="O40" s="6"/>
    </row>
    <row r="41" spans="1:15" s="4" customFormat="1" ht="15.75" x14ac:dyDescent="0.25">
      <c r="A41" s="7"/>
      <c r="B41" s="7"/>
      <c r="J41" s="9"/>
      <c r="K41" s="9"/>
      <c r="M41" s="6"/>
      <c r="N41" s="6"/>
      <c r="O41" s="6"/>
    </row>
    <row r="42" spans="1:15" s="7" customFormat="1" ht="15.75" x14ac:dyDescent="0.25">
      <c r="A42" s="7" t="s">
        <v>63</v>
      </c>
      <c r="B42" s="7" t="s">
        <v>64</v>
      </c>
      <c r="J42" s="9">
        <f>22250*10+23060*2</f>
        <v>268620</v>
      </c>
      <c r="K42" s="9">
        <f>58578.36+56277.71+70554.17+49835.89</f>
        <v>235246.13</v>
      </c>
      <c r="M42" s="21"/>
      <c r="N42" s="21"/>
      <c r="O42" s="21"/>
    </row>
    <row r="43" spans="1:15" s="4" customFormat="1" ht="15.75" x14ac:dyDescent="0.25">
      <c r="B43" s="7" t="s">
        <v>65</v>
      </c>
      <c r="J43" s="9">
        <f>J4+J11+J20+J25+J31+J36+J38+J40+J42</f>
        <v>1976223.24</v>
      </c>
      <c r="K43" s="9">
        <f>K4+K11+K20+K25+K31+K36+K40+K38+K42</f>
        <v>1955878.6099999999</v>
      </c>
      <c r="M43" s="6"/>
      <c r="N43" s="6"/>
      <c r="O43" s="6"/>
    </row>
    <row r="44" spans="1:15" s="4" customFormat="1" ht="15.75" x14ac:dyDescent="0.25">
      <c r="B44" s="7" t="s">
        <v>66</v>
      </c>
      <c r="J44" s="11">
        <f>ROUND(J43*7/100,2)</f>
        <v>138335.63</v>
      </c>
      <c r="K44" s="11">
        <f>ROUND(K43*7/100,2)</f>
        <v>136911.5</v>
      </c>
      <c r="M44" s="6"/>
      <c r="N44" s="6"/>
      <c r="O44" s="6"/>
    </row>
    <row r="45" spans="1:15" s="4" customFormat="1" ht="15.75" x14ac:dyDescent="0.25">
      <c r="B45" s="8" t="s">
        <v>67</v>
      </c>
      <c r="C45" s="8"/>
      <c r="D45" s="8"/>
      <c r="J45" s="9">
        <f>SUM(J43:J44)</f>
        <v>2114558.87</v>
      </c>
      <c r="K45" s="9">
        <f>SUM(K43:K44)</f>
        <v>2092790.1099999999</v>
      </c>
      <c r="M45" s="6"/>
      <c r="N45" s="6"/>
      <c r="O45" s="6"/>
    </row>
    <row r="46" spans="1:15" s="4" customFormat="1" ht="15.75" x14ac:dyDescent="0.25">
      <c r="B46" s="17"/>
      <c r="C46" s="17"/>
      <c r="D46" s="17"/>
      <c r="J46" s="9"/>
      <c r="K46" s="9"/>
      <c r="M46" s="6"/>
      <c r="N46" s="6"/>
      <c r="O46" s="6"/>
    </row>
    <row r="47" spans="1:15" s="7" customFormat="1" ht="15.75" x14ac:dyDescent="0.25">
      <c r="A47" s="8" t="s">
        <v>68</v>
      </c>
      <c r="B47" s="8"/>
      <c r="C47" s="8"/>
      <c r="D47" s="8"/>
      <c r="J47" s="9"/>
      <c r="K47" s="9">
        <f>530105.97+530105.97+532358.37+521387.31</f>
        <v>2113957.62</v>
      </c>
      <c r="M47" s="21"/>
      <c r="N47" s="21"/>
      <c r="O47" s="21"/>
    </row>
    <row r="48" spans="1:15" s="7" customFormat="1" ht="15.75" x14ac:dyDescent="0.25">
      <c r="A48" s="8" t="s">
        <v>69</v>
      </c>
      <c r="B48" s="8"/>
      <c r="C48" s="8"/>
      <c r="D48" s="8"/>
      <c r="E48" s="8"/>
      <c r="F48" s="8"/>
      <c r="J48" s="9"/>
      <c r="K48" s="9">
        <f>481036.03+500961.79+524669.73+526146.81</f>
        <v>2032814.36</v>
      </c>
      <c r="M48" s="21"/>
      <c r="N48" s="21"/>
      <c r="O48" s="21"/>
    </row>
    <row r="49" spans="2:15" s="4" customFormat="1" ht="14.25" customHeight="1" x14ac:dyDescent="0.2">
      <c r="M49" s="6"/>
      <c r="N49" s="6"/>
      <c r="O49" s="6"/>
    </row>
    <row r="50" spans="2:15" s="4" customFormat="1" ht="15" x14ac:dyDescent="0.2">
      <c r="B50" s="4" t="s">
        <v>70</v>
      </c>
      <c r="J50" s="4" t="s">
        <v>71</v>
      </c>
      <c r="M50" s="6"/>
      <c r="N50" s="6"/>
      <c r="O50" s="6"/>
    </row>
    <row r="51" spans="2:15" s="4" customFormat="1" ht="15" x14ac:dyDescent="0.2">
      <c r="M51" s="6"/>
      <c r="N51" s="6"/>
      <c r="O51" s="6"/>
    </row>
    <row r="52" spans="2:15" s="4" customFormat="1" ht="15" x14ac:dyDescent="0.2">
      <c r="B52" s="4" t="s">
        <v>72</v>
      </c>
      <c r="J52" s="4" t="s">
        <v>73</v>
      </c>
      <c r="M52" s="6"/>
      <c r="N52" s="6"/>
      <c r="O52" s="6"/>
    </row>
    <row r="53" spans="2:15" s="4" customFormat="1" ht="15" x14ac:dyDescent="0.2">
      <c r="M53" s="6"/>
      <c r="N53" s="6"/>
      <c r="O53" s="6"/>
    </row>
    <row r="54" spans="2:15" s="4" customFormat="1" ht="15" x14ac:dyDescent="0.2">
      <c r="M54" s="6"/>
      <c r="N54" s="6"/>
      <c r="O54" s="6"/>
    </row>
    <row r="55" spans="2:15" s="4" customFormat="1" ht="15" x14ac:dyDescent="0.2">
      <c r="M55" s="6"/>
      <c r="N55" s="6"/>
      <c r="O55" s="6"/>
    </row>
    <row r="56" spans="2:15" s="4" customFormat="1" ht="15" x14ac:dyDescent="0.2">
      <c r="M56" s="6"/>
      <c r="N56" s="6"/>
      <c r="O56" s="6"/>
    </row>
    <row r="57" spans="2:15" s="4" customFormat="1" ht="15" x14ac:dyDescent="0.2">
      <c r="M57" s="6"/>
      <c r="N57" s="6"/>
      <c r="O57" s="6"/>
    </row>
    <row r="58" spans="2:15" s="4" customFormat="1" ht="15" x14ac:dyDescent="0.2">
      <c r="M58" s="6"/>
      <c r="N58" s="6"/>
      <c r="O58" s="6"/>
    </row>
    <row r="59" spans="2:15" s="4" customFormat="1" ht="15" x14ac:dyDescent="0.2">
      <c r="M59" s="6"/>
      <c r="N59" s="6"/>
      <c r="O59" s="6"/>
    </row>
    <row r="60" spans="2:15" s="4" customFormat="1" ht="15" x14ac:dyDescent="0.2">
      <c r="M60" s="6"/>
      <c r="N60" s="6"/>
      <c r="O60" s="6"/>
    </row>
    <row r="61" spans="2:15" s="4" customFormat="1" ht="15" x14ac:dyDescent="0.2">
      <c r="M61" s="6"/>
      <c r="N61" s="6"/>
      <c r="O61" s="6"/>
    </row>
    <row r="62" spans="2:15" s="4" customFormat="1" ht="15" x14ac:dyDescent="0.2">
      <c r="M62" s="6"/>
      <c r="N62" s="6"/>
      <c r="O62" s="6"/>
    </row>
    <row r="63" spans="2:15" s="4" customFormat="1" ht="15" x14ac:dyDescent="0.2">
      <c r="M63" s="6"/>
      <c r="N63" s="6"/>
      <c r="O63" s="6"/>
    </row>
    <row r="64" spans="2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</sheetData>
  <mergeCells count="23">
    <mergeCell ref="B36:E36"/>
    <mergeCell ref="B38:F38"/>
    <mergeCell ref="B45:D45"/>
    <mergeCell ref="A47:D47"/>
    <mergeCell ref="A48:F48"/>
    <mergeCell ref="B20:H20"/>
    <mergeCell ref="C21:G21"/>
    <mergeCell ref="C22:H22"/>
    <mergeCell ref="C26:D26"/>
    <mergeCell ref="C27:G27"/>
    <mergeCell ref="C28:H28"/>
    <mergeCell ref="B11:F11"/>
    <mergeCell ref="C12:D12"/>
    <mergeCell ref="C13:E13"/>
    <mergeCell ref="C14:F14"/>
    <mergeCell ref="C15:H15"/>
    <mergeCell ref="C16:D16"/>
    <mergeCell ref="A1:K1"/>
    <mergeCell ref="A2:K2"/>
    <mergeCell ref="B4:H4"/>
    <mergeCell ref="C5:F5"/>
    <mergeCell ref="C6:F6"/>
    <mergeCell ref="C7:E7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Дружба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2020-02-05T10:32:21Z</dcterms:created>
  <dcterms:modified xsi:type="dcterms:W3CDTF">2020-02-05T10:38:54Z</dcterms:modified>
</cp:coreProperties>
</file>