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31 &quot;А&quot;Аэрофло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7" i="1"/>
  <c r="K42" i="1"/>
  <c r="J42" i="1"/>
  <c r="K40" i="1"/>
  <c r="J40" i="1"/>
  <c r="K38" i="1"/>
  <c r="J38" i="1"/>
  <c r="K37" i="1"/>
  <c r="K36" i="1" s="1"/>
  <c r="J36" i="1"/>
  <c r="K29" i="1"/>
  <c r="K28" i="1"/>
  <c r="K27" i="1"/>
  <c r="K26" i="1"/>
  <c r="K25" i="1"/>
  <c r="J25" i="1"/>
  <c r="K23" i="1"/>
  <c r="J23" i="1"/>
  <c r="K22" i="1"/>
  <c r="J22" i="1"/>
  <c r="K21" i="1"/>
  <c r="J21" i="1"/>
  <c r="K20" i="1"/>
  <c r="J20" i="1"/>
  <c r="K19" i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K44" i="1" l="1"/>
  <c r="K45" i="1" s="1"/>
  <c r="J44" i="1"/>
  <c r="J45" i="1" s="1"/>
</calcChain>
</file>

<file path=xl/sharedStrings.xml><?xml version="1.0" encoding="utf-8"?>
<sst xmlns="http://schemas.openxmlformats.org/spreadsheetml/2006/main" count="74" uniqueCount="74">
  <si>
    <t xml:space="preserve">ОТЧЁТ по расходам на обслуживание </t>
  </si>
  <si>
    <t>ЖСК "Аэрофлот", ул. Зубковой д. 31 "А"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</si>
  <si>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</si>
  <si>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</si>
  <si>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</si>
  <si>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</si>
  <si>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</si>
  <si>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</si>
  <si>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</si>
  <si>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</si>
  <si>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</si>
  <si>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</si>
  <si>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</si>
  <si>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</si>
  <si>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</si>
  <si>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</si>
  <si>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</si>
  <si>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</si>
  <si>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</si>
  <si>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</si>
  <si>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</si>
  <si>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</si>
  <si>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</si>
  <si>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</si>
  <si>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</si>
  <si>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</si>
  <si>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</si>
  <si>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</si>
  <si>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</si>
  <si>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</si>
  <si>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</si>
  <si>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</si>
  <si>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</si>
  <si>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</si>
  <si>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</si>
  <si>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</si>
  <si>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</si>
  <si>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</si>
  <si>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</si>
  <si>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</si>
  <si>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</si>
  <si>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</si>
  <si>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</si>
  <si>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</si>
  <si>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</si>
  <si>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</si>
  <si>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</si>
  <si>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Ф-2)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</si>
  <si>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</si>
  <si>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</si>
  <si>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</si>
  <si>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</si>
  <si>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</si>
  <si>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</si>
  <si>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</si>
  <si>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</si>
  <si>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</si>
  <si>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Прочие прямые затраты:</t>
  </si>
  <si>
    <t>в том числе вознаграждение председ. правл. ЖСК</t>
  </si>
  <si>
    <t>6.</t>
  </si>
  <si>
    <t>Общеэксплуатационные расходы:</t>
  </si>
  <si>
    <t>7.</t>
  </si>
  <si>
    <t>Внеэксплуатационные расходы:</t>
  </si>
  <si>
    <t>8.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</si>
  <si>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</si>
  <si>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</si>
  <si>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</si>
  <si>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</si>
  <si>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</si>
  <si>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</si>
  <si>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Директор ООО "Вектор Плюс"</t>
  </si>
  <si>
    <t>Радин В. Е.</t>
  </si>
  <si>
    <t>Председатель ЖСК "Аэрофлот"</t>
  </si>
  <si>
    <t>Шишков К.А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</si>
</sst>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164" fontId="2" fillId="0" borderId="0" xfId="0" applyNumberFormat="1" applyFont="1"/>
    <xf numFmtId="0" fontId="4" fillId="0" borderId="0" xfId="0" applyFont="1"/>
    <xf numFmtId="164" fontId="4" fillId="0" borderId="0" xfId="0" applyNumberFormat="1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tabSelected="1" topLeftCell="A10" workbookViewId="0">
      <selection activeCell="K22" sqref="K22"/>
    </sheetView>
  </sheetViews>
  <sheetFormatPr defaultRowHeight="12.75" x14ac:dyDescent="0.2"/>
  <cols>
    <col min="1" max="1" width="2.42578125" customWidth="1"/>
    <col min="2" max="2" width="4.140625" customWidth="1"/>
    <col min="3" max="7" width="8.5703125" customWidth="1"/>
    <col min="8" max="8" width="7.42578125" customWidth="1"/>
    <col min="9" max="9" width="1.140625" customWidth="1"/>
    <col min="10" max="11" width="17.7109375" customWidth="1"/>
    <col min="12" max="12" width="3" customWidth="1"/>
    <col min="13" max="13" width="26.140625" style="22" customWidth="1"/>
    <col min="14" max="14" width="15.85546875" style="22" customWidth="1"/>
    <col min="15" max="15" width="12" style="22" customWidth="1"/>
    <col min="16" max="16" width="13.7109375" customWidth="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476563.48</v>
      </c>
      <c r="K4" s="9">
        <f>SUM(K5:K9)</f>
        <v>532883.28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26145*12</f>
        <v>313740</v>
      </c>
      <c r="K5" s="11">
        <f>77985.88+103729.26+85815.88+86369.06</f>
        <v>353900.08</v>
      </c>
      <c r="M5" s="6"/>
      <c r="N5" s="6"/>
      <c r="O5" s="6"/>
    </row>
    <row r="6" spans="1:15" s="4" customFormat="1" ht="15" x14ac:dyDescent="0.2">
      <c r="B6" s="4" t="s">
        <v>8</v>
      </c>
      <c r="C6" s="10" t="s">
        <v>9</v>
      </c>
      <c r="D6" s="10"/>
      <c r="E6" s="10"/>
      <c r="F6" s="10"/>
      <c r="J6" s="12">
        <f>ROUND(J5*30.2/100,2)</f>
        <v>94749.48</v>
      </c>
      <c r="K6" s="12">
        <f>ROUND(K5*30.2/100,2)</f>
        <v>106877.82</v>
      </c>
      <c r="M6" s="13"/>
    </row>
    <row r="7" spans="1:15" s="4" customFormat="1" ht="15" x14ac:dyDescent="0.2">
      <c r="B7" s="4" t="s">
        <v>10</v>
      </c>
      <c r="C7" s="10" t="s">
        <v>11</v>
      </c>
      <c r="D7" s="10"/>
      <c r="E7" s="10"/>
      <c r="J7" s="11">
        <f>1069*10+1603*2</f>
        <v>13896</v>
      </c>
      <c r="K7" s="11">
        <f>7462.85+1578.53+2788.97+3681.02</f>
        <v>15511.37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4038*10</f>
        <v>40380</v>
      </c>
      <c r="K8" s="11">
        <f>14439.68+8878.97+11224.33+3369.72</f>
        <v>37912.700000000004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995*10+1924*2</f>
        <v>13798</v>
      </c>
      <c r="K9" s="11">
        <f>10061.24+1775.7+241.18+6603.19</f>
        <v>18681.310000000001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389926</v>
      </c>
      <c r="K11" s="9">
        <f>SUM(K12:K19)</f>
        <v>408270.09</v>
      </c>
      <c r="M11" s="6"/>
      <c r="N11" s="6"/>
      <c r="O11" s="6"/>
    </row>
    <row r="12" spans="1:15" s="4" customFormat="1" ht="15" x14ac:dyDescent="0.2">
      <c r="B12" s="14" t="s">
        <v>18</v>
      </c>
      <c r="C12" s="10" t="s">
        <v>19</v>
      </c>
      <c r="D12" s="10"/>
      <c r="E12" s="14"/>
      <c r="F12" s="14"/>
      <c r="J12" s="11">
        <f>11303*10</f>
        <v>113030</v>
      </c>
      <c r="K12" s="11">
        <f>41329.95+26878.35+28791.1+10484.77</f>
        <v>107484.17</v>
      </c>
      <c r="M12" s="6"/>
      <c r="N12" s="6"/>
      <c r="O12" s="6"/>
    </row>
    <row r="13" spans="1:15" s="4" customFormat="1" ht="15" x14ac:dyDescent="0.2">
      <c r="B13" s="4" t="s">
        <v>20</v>
      </c>
      <c r="C13" s="10" t="s">
        <v>21</v>
      </c>
      <c r="D13" s="10"/>
      <c r="E13" s="10"/>
      <c r="J13" s="11">
        <f>11880*10</f>
        <v>118800</v>
      </c>
      <c r="K13" s="11">
        <f>33975.91+41238.44+45514.73+16799.53</f>
        <v>137528.61000000002</v>
      </c>
      <c r="M13" s="6"/>
      <c r="N13" s="6"/>
      <c r="O13" s="6"/>
    </row>
    <row r="14" spans="1:15" s="4" customFormat="1" ht="15" x14ac:dyDescent="0.2">
      <c r="B14" s="4" t="s">
        <v>22</v>
      </c>
      <c r="C14" s="10" t="s">
        <v>23</v>
      </c>
      <c r="D14" s="10"/>
      <c r="E14" s="10"/>
      <c r="F14" s="10"/>
      <c r="J14" s="11">
        <f>496*10+520*2</f>
        <v>6000</v>
      </c>
      <c r="K14" s="11">
        <f>1513.53+1513.53+1513.53+1513.53</f>
        <v>6054.12</v>
      </c>
      <c r="M14" s="6"/>
      <c r="N14" s="6"/>
      <c r="O14" s="6"/>
    </row>
    <row r="15" spans="1:15" s="4" customFormat="1" ht="15" x14ac:dyDescent="0.2">
      <c r="B15" s="4" t="s">
        <v>24</v>
      </c>
      <c r="C15" s="10" t="s">
        <v>25</v>
      </c>
      <c r="D15" s="10"/>
      <c r="E15" s="10"/>
      <c r="F15" s="10"/>
      <c r="G15" s="10"/>
      <c r="H15" s="10"/>
      <c r="J15" s="11">
        <f>5852*10+6974*2</f>
        <v>72468</v>
      </c>
      <c r="K15" s="11">
        <f>20371.64+21878.18+21413.24+18360.13</f>
        <v>82023.19</v>
      </c>
      <c r="M15" s="6"/>
      <c r="N15" s="6"/>
      <c r="O15" s="6"/>
    </row>
    <row r="16" spans="1:15" s="4" customFormat="1" ht="15" x14ac:dyDescent="0.2">
      <c r="B16" s="4" t="s">
        <v>26</v>
      </c>
      <c r="C16" s="10" t="s">
        <v>27</v>
      </c>
      <c r="D16" s="10"/>
      <c r="E16" s="10"/>
      <c r="F16" s="10"/>
      <c r="J16" s="11">
        <f>6183*12</f>
        <v>74196</v>
      </c>
      <c r="K16" s="11">
        <f>74200</f>
        <v>74200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439*12</f>
        <v>5268</v>
      </c>
      <c r="K17" s="11">
        <f>0</f>
        <v>0</v>
      </c>
    </row>
    <row r="18" spans="1:15" s="4" customFormat="1" ht="15" x14ac:dyDescent="0.2">
      <c r="B18" s="4" t="s">
        <v>30</v>
      </c>
      <c r="C18" s="14" t="s">
        <v>31</v>
      </c>
      <c r="D18" s="14"/>
      <c r="E18" s="14"/>
      <c r="F18" s="14"/>
      <c r="J18" s="11">
        <f>0</f>
        <v>0</v>
      </c>
      <c r="K18" s="11">
        <v>0</v>
      </c>
      <c r="M18" s="6"/>
      <c r="N18" s="6"/>
      <c r="O18" s="6"/>
    </row>
    <row r="19" spans="1:15" s="4" customFormat="1" ht="15" x14ac:dyDescent="0.2">
      <c r="B19" s="4" t="s">
        <v>32</v>
      </c>
      <c r="C19" s="14" t="s">
        <v>33</v>
      </c>
      <c r="D19" s="14"/>
      <c r="E19" s="14"/>
      <c r="F19" s="14"/>
      <c r="J19" s="11">
        <f>82*2</f>
        <v>164</v>
      </c>
      <c r="K19" s="11">
        <f>140*7</f>
        <v>980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SUM(J21:J24)</f>
        <v>456312</v>
      </c>
      <c r="K20" s="9">
        <f>SUM(K21:K24)</f>
        <v>400604.41000000003</v>
      </c>
      <c r="M20" s="6"/>
      <c r="N20" s="6"/>
      <c r="O20" s="6"/>
    </row>
    <row r="21" spans="1:15" s="4" customFormat="1" ht="15" x14ac:dyDescent="0.2">
      <c r="B21" s="14" t="s">
        <v>36</v>
      </c>
      <c r="C21" s="10" t="s">
        <v>37</v>
      </c>
      <c r="D21" s="10"/>
      <c r="E21" s="10"/>
      <c r="F21" s="10"/>
      <c r="G21" s="10"/>
      <c r="J21" s="11">
        <f>35063*12</f>
        <v>420756</v>
      </c>
      <c r="K21" s="11">
        <f>105189+105189+105189+52928.41</f>
        <v>368495.41000000003</v>
      </c>
      <c r="M21" s="6"/>
      <c r="N21" s="6"/>
      <c r="O21" s="6"/>
    </row>
    <row r="22" spans="1:15" s="4" customFormat="1" ht="15" x14ac:dyDescent="0.2">
      <c r="B22" s="14" t="s">
        <v>38</v>
      </c>
      <c r="C22" s="10" t="s">
        <v>39</v>
      </c>
      <c r="D22" s="10"/>
      <c r="E22" s="10"/>
      <c r="F22" s="10"/>
      <c r="G22" s="10"/>
      <c r="H22" s="10"/>
      <c r="J22" s="11">
        <f>2588*12</f>
        <v>31056</v>
      </c>
      <c r="K22" s="11">
        <f>0+0+31059</f>
        <v>31059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f>375*12</f>
        <v>4500</v>
      </c>
      <c r="K23" s="11">
        <f>150*7</f>
        <v>1050</v>
      </c>
      <c r="M23" s="6"/>
      <c r="N23" s="6"/>
      <c r="O23" s="6"/>
    </row>
    <row r="24" spans="1:15" s="4" customFormat="1" ht="15" x14ac:dyDescent="0.2">
      <c r="B24" s="4" t="s">
        <v>42</v>
      </c>
      <c r="C24" s="4" t="s">
        <v>43</v>
      </c>
      <c r="J24" s="11"/>
      <c r="K24" s="11"/>
      <c r="M24" s="6"/>
      <c r="N24" s="6"/>
      <c r="O24" s="6"/>
    </row>
    <row r="25" spans="1:15" s="4" customFormat="1" ht="15.75" x14ac:dyDescent="0.25">
      <c r="A25" s="7" t="s">
        <v>44</v>
      </c>
      <c r="B25" s="15" t="s">
        <v>45</v>
      </c>
      <c r="C25" s="15"/>
      <c r="D25" s="15"/>
      <c r="J25" s="9">
        <f>40540*10+51040*2</f>
        <v>507480</v>
      </c>
      <c r="K25" s="9">
        <f>SUM(K26:K30)</f>
        <v>629429.56999999995</v>
      </c>
      <c r="M25" s="6"/>
      <c r="N25" s="6"/>
      <c r="O25" s="6"/>
    </row>
    <row r="26" spans="1:15" s="4" customFormat="1" ht="15" x14ac:dyDescent="0.2">
      <c r="B26" s="4" t="s">
        <v>46</v>
      </c>
      <c r="C26" s="10" t="s">
        <v>47</v>
      </c>
      <c r="D26" s="10"/>
      <c r="J26" s="11"/>
      <c r="K26" s="11">
        <f>38506.79+73182.23+269446.21+26505.92</f>
        <v>407641.14999999997</v>
      </c>
      <c r="M26" s="6"/>
      <c r="N26" s="6"/>
      <c r="O26" s="6"/>
    </row>
    <row r="27" spans="1:15" s="4" customFormat="1" ht="15" x14ac:dyDescent="0.2">
      <c r="B27" s="4" t="s">
        <v>48</v>
      </c>
      <c r="C27" s="10" t="s">
        <v>49</v>
      </c>
      <c r="D27" s="10"/>
      <c r="E27" s="10"/>
      <c r="F27" s="10"/>
      <c r="G27" s="10"/>
      <c r="J27" s="11"/>
      <c r="K27" s="11">
        <f>41579.04+43362.05+28849.17+37912.24</f>
        <v>151702.5</v>
      </c>
      <c r="M27" s="6"/>
      <c r="N27" s="6"/>
      <c r="O27" s="6"/>
    </row>
    <row r="28" spans="1:15" s="4" customFormat="1" ht="15" x14ac:dyDescent="0.2">
      <c r="B28" s="4" t="s">
        <v>50</v>
      </c>
      <c r="C28" s="10" t="s">
        <v>51</v>
      </c>
      <c r="D28" s="10"/>
      <c r="E28" s="10"/>
      <c r="F28" s="10"/>
      <c r="G28" s="10"/>
      <c r="H28" s="10"/>
      <c r="J28" s="11"/>
      <c r="K28" s="11">
        <f>12678.59+12864.57+12549.81+22392.95</f>
        <v>60485.919999999998</v>
      </c>
      <c r="M28" s="6"/>
      <c r="N28" s="6"/>
      <c r="O28" s="6"/>
    </row>
    <row r="29" spans="1:15" s="4" customFormat="1" ht="15" x14ac:dyDescent="0.2">
      <c r="B29" s="4" t="s">
        <v>52</v>
      </c>
      <c r="C29" s="14" t="s">
        <v>53</v>
      </c>
      <c r="D29" s="16"/>
      <c r="E29" s="16"/>
      <c r="F29" s="14"/>
      <c r="G29" s="14"/>
      <c r="H29" s="14"/>
      <c r="J29" s="11"/>
      <c r="K29" s="11">
        <f>200*48</f>
        <v>9600</v>
      </c>
      <c r="M29" s="6"/>
      <c r="N29" s="6"/>
      <c r="O29" s="6"/>
    </row>
    <row r="30" spans="1:15" s="4" customFormat="1" ht="15" x14ac:dyDescent="0.2">
      <c r="B30" s="4" t="s">
        <v>54</v>
      </c>
      <c r="C30" s="14"/>
      <c r="D30" s="14"/>
      <c r="E30" s="14"/>
      <c r="F30" s="14"/>
      <c r="G30" s="16"/>
      <c r="H30" s="16"/>
      <c r="J30" s="11"/>
      <c r="K30" s="11"/>
    </row>
    <row r="31" spans="1:15" s="4" customFormat="1" ht="15" x14ac:dyDescent="0.2">
      <c r="B31" s="4" t="s">
        <v>55</v>
      </c>
      <c r="C31" s="14"/>
      <c r="D31" s="14"/>
      <c r="E31" s="14"/>
      <c r="F31" s="14"/>
      <c r="G31" s="16"/>
      <c r="H31" s="16"/>
      <c r="J31" s="11"/>
      <c r="K31" s="11"/>
    </row>
    <row r="32" spans="1:15" s="4" customFormat="1" ht="15" x14ac:dyDescent="0.2">
      <c r="C32" s="14"/>
      <c r="D32" s="14"/>
      <c r="E32" s="14"/>
      <c r="F32" s="14"/>
      <c r="G32" s="16"/>
      <c r="H32" s="16"/>
      <c r="J32" s="11"/>
      <c r="K32" s="11"/>
    </row>
    <row r="33" spans="1:15" s="4" customFormat="1" ht="15" x14ac:dyDescent="0.2">
      <c r="C33" s="14"/>
      <c r="D33" s="14"/>
      <c r="E33" s="14"/>
      <c r="F33" s="14"/>
      <c r="G33" s="16"/>
      <c r="H33" s="16"/>
      <c r="J33" s="11"/>
      <c r="K33" s="11"/>
    </row>
    <row r="34" spans="1:15" s="4" customFormat="1" ht="15" x14ac:dyDescent="0.2">
      <c r="C34" s="14"/>
      <c r="D34" s="14"/>
      <c r="E34" s="14"/>
      <c r="F34" s="14"/>
      <c r="G34" s="16"/>
      <c r="H34" s="16"/>
      <c r="J34" s="11"/>
      <c r="K34" s="11"/>
    </row>
    <row r="35" spans="1:15" s="4" customFormat="1" ht="15" x14ac:dyDescent="0.2">
      <c r="C35" s="14"/>
      <c r="D35" s="14"/>
      <c r="E35" s="14"/>
      <c r="F35" s="14"/>
      <c r="G35" s="16"/>
      <c r="H35" s="16"/>
      <c r="J35" s="11"/>
      <c r="K35" s="11"/>
    </row>
    <row r="36" spans="1:15" s="4" customFormat="1" ht="15.75" x14ac:dyDescent="0.25">
      <c r="A36" s="7" t="s">
        <v>56</v>
      </c>
      <c r="B36" s="8" t="s">
        <v>57</v>
      </c>
      <c r="C36" s="8"/>
      <c r="D36" s="8"/>
      <c r="E36" s="8"/>
      <c r="J36" s="9">
        <f>42840*10+44840*2</f>
        <v>518080</v>
      </c>
      <c r="K36" s="9">
        <f>106211.2+79837.39+91331.08+29217.11+62548.13+K37</f>
        <v>541008.90999999992</v>
      </c>
      <c r="M36" s="6"/>
      <c r="N36" s="6"/>
      <c r="O36" s="6"/>
    </row>
    <row r="37" spans="1:15" s="4" customFormat="1" ht="15" x14ac:dyDescent="0.2">
      <c r="B37" s="4" t="s">
        <v>58</v>
      </c>
      <c r="J37" s="11"/>
      <c r="K37" s="11">
        <f>42966+42966+42966+42966</f>
        <v>171864</v>
      </c>
      <c r="M37" s="6"/>
      <c r="N37" s="6"/>
      <c r="O37" s="6"/>
    </row>
    <row r="38" spans="1:15" s="4" customFormat="1" ht="15.75" x14ac:dyDescent="0.25">
      <c r="A38" s="7" t="s">
        <v>59</v>
      </c>
      <c r="B38" s="15" t="s">
        <v>60</v>
      </c>
      <c r="C38" s="15"/>
      <c r="D38" s="15"/>
      <c r="E38" s="15"/>
      <c r="F38" s="15"/>
      <c r="J38" s="9">
        <f>66830*10+71860*2</f>
        <v>812020</v>
      </c>
      <c r="K38" s="9">
        <f>219247.75+225316.44+204233.77+70786.81+132172.94</f>
        <v>851757.71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61</v>
      </c>
      <c r="B40" s="7" t="s">
        <v>62</v>
      </c>
      <c r="J40" s="9">
        <f>4880*12</f>
        <v>58560</v>
      </c>
      <c r="K40" s="9">
        <f>51193.34+902.86+25.65+0</f>
        <v>52121.85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63</v>
      </c>
      <c r="B42" s="7" t="s">
        <v>64</v>
      </c>
      <c r="J42" s="9">
        <f>39420*10+40790*2</f>
        <v>475780</v>
      </c>
      <c r="K42" s="9">
        <f>118159.08+118159.08+118235.68+122363.4</f>
        <v>476917.24</v>
      </c>
      <c r="M42" s="17"/>
      <c r="N42" s="17"/>
      <c r="O42" s="17"/>
    </row>
    <row r="43" spans="1:15" s="4" customFormat="1" ht="15.75" x14ac:dyDescent="0.25">
      <c r="B43" s="7" t="s">
        <v>65</v>
      </c>
      <c r="J43" s="9">
        <f>J4+J11+J20+J25+J36+J38+J40+J42</f>
        <v>3694721.48</v>
      </c>
      <c r="K43" s="9">
        <f>K4+K11+K20+K25+K36+K38+K40+K42</f>
        <v>3892993.0599999996</v>
      </c>
      <c r="M43" s="6"/>
      <c r="N43" s="6"/>
      <c r="O43" s="6"/>
    </row>
    <row r="44" spans="1:15" s="4" customFormat="1" ht="15.75" x14ac:dyDescent="0.25">
      <c r="B44" s="7" t="s">
        <v>66</v>
      </c>
      <c r="J44" s="11">
        <f>ROUND(J43*7/100,2)</f>
        <v>258630.5</v>
      </c>
      <c r="K44" s="11">
        <f>ROUND(K43*7/100,2)</f>
        <v>272509.51</v>
      </c>
      <c r="M44" s="6"/>
      <c r="N44" s="6"/>
      <c r="O44" s="6"/>
    </row>
    <row r="45" spans="1:15" s="4" customFormat="1" ht="15.75" x14ac:dyDescent="0.25">
      <c r="B45" s="8" t="s">
        <v>67</v>
      </c>
      <c r="C45" s="8"/>
      <c r="D45" s="8"/>
      <c r="J45" s="9">
        <f>SUM(J43:J44)</f>
        <v>3953351.98</v>
      </c>
      <c r="K45" s="9">
        <f>SUM(K43:K44)</f>
        <v>4165502.5699999994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68</v>
      </c>
      <c r="B47" s="8"/>
      <c r="C47" s="8"/>
      <c r="D47" s="8"/>
      <c r="J47" s="9"/>
      <c r="K47" s="9">
        <f>991615.45+991615.47+995821.59+975142.39</f>
        <v>3954194.9</v>
      </c>
      <c r="M47" s="17"/>
      <c r="N47" s="17"/>
      <c r="O47" s="17"/>
    </row>
    <row r="48" spans="1:15" s="7" customFormat="1" ht="15.75" x14ac:dyDescent="0.25">
      <c r="A48" s="8" t="s">
        <v>69</v>
      </c>
      <c r="B48" s="8"/>
      <c r="C48" s="8"/>
      <c r="D48" s="8"/>
      <c r="E48" s="8"/>
      <c r="F48" s="8"/>
      <c r="J48" s="9"/>
      <c r="K48" s="9">
        <f>946500.18+906788.84+919845.13+981271.73</f>
        <v>3754405.88</v>
      </c>
      <c r="M48" s="17"/>
      <c r="N48" s="17"/>
      <c r="O48" s="17"/>
    </row>
    <row r="49" spans="2:15" s="4" customFormat="1" ht="15" x14ac:dyDescent="0.2">
      <c r="J49" s="19"/>
      <c r="K49" s="19"/>
      <c r="M49" s="6"/>
      <c r="N49" s="6"/>
      <c r="O49" s="6"/>
    </row>
    <row r="50" spans="2:15" s="4" customFormat="1" ht="15" x14ac:dyDescent="0.2">
      <c r="B50" s="4" t="s">
        <v>70</v>
      </c>
      <c r="J50" s="19" t="s">
        <v>71</v>
      </c>
      <c r="K50" s="19"/>
      <c r="M50" s="6"/>
      <c r="N50" s="6"/>
      <c r="O50" s="6"/>
    </row>
    <row r="51" spans="2:15" s="4" customFormat="1" ht="15" x14ac:dyDescent="0.2">
      <c r="J51" s="19"/>
      <c r="K51" s="19"/>
      <c r="M51" s="6"/>
      <c r="N51" s="6"/>
      <c r="O51" s="6"/>
    </row>
    <row r="52" spans="2:15" s="4" customFormat="1" ht="15" x14ac:dyDescent="0.2">
      <c r="B52" s="4" t="s">
        <v>72</v>
      </c>
      <c r="I52" s="20"/>
      <c r="J52" s="21" t="s">
        <v>73</v>
      </c>
      <c r="K52" s="19"/>
      <c r="M52" s="6"/>
      <c r="N52" s="6"/>
      <c r="O52" s="6"/>
    </row>
    <row r="53" spans="2:15" s="4" customFormat="1" ht="15" x14ac:dyDescent="0.2">
      <c r="J53" s="19"/>
      <c r="K53" s="19"/>
      <c r="M53" s="6"/>
      <c r="N53" s="6"/>
      <c r="O53" s="6"/>
    </row>
    <row r="54" spans="2:15" s="4" customFormat="1" ht="15" x14ac:dyDescent="0.2">
      <c r="J54" s="19"/>
      <c r="K54" s="19"/>
      <c r="M54" s="6"/>
      <c r="N54" s="6"/>
      <c r="O54" s="6"/>
    </row>
    <row r="55" spans="2:15" s="4" customFormat="1" ht="15" x14ac:dyDescent="0.2">
      <c r="J55" s="19"/>
      <c r="K55" s="19"/>
      <c r="M55" s="6"/>
      <c r="N55" s="6"/>
      <c r="O55" s="6"/>
    </row>
    <row r="56" spans="2:15" s="4" customFormat="1" ht="15" x14ac:dyDescent="0.2">
      <c r="J56" s="19"/>
      <c r="K56" s="19"/>
      <c r="M56" s="6"/>
      <c r="N56" s="6"/>
      <c r="O56" s="6"/>
    </row>
    <row r="57" spans="2:15" s="4" customFormat="1" ht="15" x14ac:dyDescent="0.2">
      <c r="J57" s="19"/>
      <c r="K57" s="19"/>
      <c r="M57" s="6"/>
      <c r="N57" s="6"/>
      <c r="O57" s="6"/>
    </row>
    <row r="58" spans="2:15" s="4" customFormat="1" ht="15" x14ac:dyDescent="0.2">
      <c r="J58" s="19"/>
      <c r="K58" s="19"/>
      <c r="M58" s="6"/>
      <c r="N58" s="6"/>
      <c r="O58" s="6"/>
    </row>
    <row r="59" spans="2:15" s="4" customFormat="1" ht="15" x14ac:dyDescent="0.2">
      <c r="J59" s="19"/>
      <c r="K59" s="19"/>
      <c r="M59" s="6"/>
      <c r="N59" s="6"/>
      <c r="O59" s="6"/>
    </row>
    <row r="60" spans="2:15" s="4" customFormat="1" ht="15" x14ac:dyDescent="0.2">
      <c r="J60" s="19"/>
      <c r="K60" s="19"/>
      <c r="M60" s="6"/>
      <c r="N60" s="6"/>
      <c r="O60" s="6"/>
    </row>
    <row r="61" spans="2:15" s="4" customFormat="1" ht="15" x14ac:dyDescent="0.2">
      <c r="J61" s="19"/>
      <c r="K61" s="19"/>
      <c r="M61" s="6"/>
      <c r="N61" s="6"/>
      <c r="O61" s="6"/>
    </row>
    <row r="62" spans="2:15" s="4" customFormat="1" ht="15" x14ac:dyDescent="0.2">
      <c r="J62" s="19"/>
      <c r="K62" s="19"/>
      <c r="M62" s="6"/>
      <c r="N62" s="6"/>
      <c r="O62" s="6"/>
    </row>
    <row r="63" spans="2:15" s="4" customFormat="1" ht="15" x14ac:dyDescent="0.2">
      <c r="J63" s="19"/>
      <c r="K63" s="19"/>
      <c r="M63" s="6"/>
      <c r="N63" s="6"/>
      <c r="O63" s="6"/>
    </row>
    <row r="64" spans="2:15" s="4" customFormat="1" ht="15" x14ac:dyDescent="0.2">
      <c r="J64" s="19"/>
      <c r="K64" s="19"/>
      <c r="M64" s="6"/>
      <c r="N64" s="6"/>
      <c r="O64" s="6"/>
    </row>
    <row r="65" spans="10:15" s="4" customFormat="1" ht="15" x14ac:dyDescent="0.2">
      <c r="J65" s="19"/>
      <c r="K65" s="19"/>
      <c r="M65" s="6"/>
      <c r="N65" s="6"/>
      <c r="O65" s="6"/>
    </row>
    <row r="66" spans="10:15" s="4" customFormat="1" ht="15" x14ac:dyDescent="0.2">
      <c r="J66" s="19"/>
      <c r="K66" s="19"/>
      <c r="M66" s="6"/>
      <c r="N66" s="6"/>
      <c r="O66" s="6"/>
    </row>
    <row r="67" spans="10:15" s="4" customFormat="1" ht="15" x14ac:dyDescent="0.2">
      <c r="J67" s="19"/>
      <c r="K67" s="19"/>
      <c r="M67" s="6"/>
      <c r="N67" s="6"/>
      <c r="O67" s="6"/>
    </row>
    <row r="68" spans="10:15" s="4" customFormat="1" ht="15" x14ac:dyDescent="0.2">
      <c r="J68" s="19"/>
      <c r="K68" s="19"/>
      <c r="M68" s="6"/>
      <c r="N68" s="6"/>
      <c r="O68" s="6"/>
    </row>
    <row r="69" spans="10:15" s="4" customFormat="1" ht="15" x14ac:dyDescent="0.2">
      <c r="J69" s="19"/>
      <c r="K69" s="19"/>
      <c r="M69" s="6"/>
      <c r="N69" s="6"/>
      <c r="O69" s="6"/>
    </row>
    <row r="70" spans="10:15" s="4" customFormat="1" ht="15" x14ac:dyDescent="0.2">
      <c r="J70" s="19"/>
      <c r="K70" s="19"/>
      <c r="M70" s="6"/>
      <c r="N70" s="6"/>
      <c r="O70" s="6"/>
    </row>
    <row r="71" spans="10:15" s="4" customFormat="1" ht="15" x14ac:dyDescent="0.2">
      <c r="J71" s="19"/>
      <c r="K71" s="19"/>
      <c r="M71" s="6"/>
      <c r="N71" s="6"/>
      <c r="O71" s="6"/>
    </row>
    <row r="72" spans="10:15" s="4" customFormat="1" ht="15" x14ac:dyDescent="0.2">
      <c r="J72" s="19"/>
      <c r="K72" s="19"/>
      <c r="M72" s="6"/>
      <c r="N72" s="6"/>
      <c r="O72" s="6"/>
    </row>
    <row r="73" spans="10:15" s="4" customFormat="1" ht="15" x14ac:dyDescent="0.2">
      <c r="J73" s="19"/>
      <c r="K73" s="19"/>
      <c r="M73" s="6"/>
      <c r="N73" s="6"/>
      <c r="O73" s="6"/>
    </row>
    <row r="74" spans="10:15" s="4" customFormat="1" ht="15" x14ac:dyDescent="0.2">
      <c r="J74" s="19"/>
      <c r="K74" s="19"/>
      <c r="M74" s="6"/>
      <c r="N74" s="6"/>
      <c r="O74" s="6"/>
    </row>
    <row r="75" spans="10:15" s="4" customFormat="1" ht="15" x14ac:dyDescent="0.2">
      <c r="J75" s="19"/>
      <c r="K75" s="19"/>
      <c r="M75" s="6"/>
      <c r="N75" s="6"/>
      <c r="O75" s="6"/>
    </row>
    <row r="76" spans="10:15" s="4" customFormat="1" ht="15" x14ac:dyDescent="0.2">
      <c r="J76" s="19"/>
      <c r="K76" s="19"/>
      <c r="M76" s="6"/>
      <c r="N76" s="6"/>
      <c r="O76" s="6"/>
    </row>
    <row r="77" spans="10:15" s="4" customFormat="1" ht="15" x14ac:dyDescent="0.2">
      <c r="J77" s="19"/>
      <c r="K77" s="19"/>
      <c r="M77" s="6"/>
      <c r="N77" s="6"/>
      <c r="O77" s="6"/>
    </row>
    <row r="78" spans="10:15" s="4" customFormat="1" ht="15" x14ac:dyDescent="0.2">
      <c r="J78" s="19"/>
      <c r="K78" s="19"/>
      <c r="M78" s="6"/>
      <c r="N78" s="6"/>
      <c r="O78" s="6"/>
    </row>
    <row r="79" spans="10:15" s="4" customFormat="1" ht="15" x14ac:dyDescent="0.2">
      <c r="J79" s="19"/>
      <c r="K79" s="19"/>
      <c r="M79" s="6"/>
      <c r="N79" s="6"/>
      <c r="O79" s="6"/>
    </row>
    <row r="80" spans="10:15" s="4" customFormat="1" ht="15" x14ac:dyDescent="0.2">
      <c r="J80" s="19"/>
      <c r="K80" s="19"/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</sheetData>
  <mergeCells count="22">
    <mergeCell ref="B36:E36"/>
    <mergeCell ref="B45:D45"/>
    <mergeCell ref="A47:D47"/>
    <mergeCell ref="A48:F48"/>
    <mergeCell ref="B20:H20"/>
    <mergeCell ref="C21:G21"/>
    <mergeCell ref="C22:H22"/>
    <mergeCell ref="C26:D26"/>
    <mergeCell ref="C27:G27"/>
    <mergeCell ref="C28:H28"/>
    <mergeCell ref="B11:F11"/>
    <mergeCell ref="C12:D12"/>
    <mergeCell ref="C13:E13"/>
    <mergeCell ref="C14:F14"/>
    <mergeCell ref="C15:H15"/>
    <mergeCell ref="C16:F16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 "А"Аэрофлот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2020-02-05T10:31:00Z</dcterms:created>
  <dcterms:modified xsi:type="dcterms:W3CDTF">2020-02-05T10:35:10Z</dcterms:modified>
</cp:coreProperties>
</file>