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Вектор Плюс\Отчеты о выпол. работ 2019\"/>
    </mc:Choice>
  </mc:AlternateContent>
  <bookViews>
    <workbookView xWindow="0" yWindow="0" windowWidth="19200" windowHeight="11595"/>
  </bookViews>
  <sheets>
    <sheet name="2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2" i="1"/>
  <c r="J42" i="1"/>
  <c r="K40" i="1"/>
  <c r="J40" i="1"/>
  <c r="K38" i="1"/>
  <c r="J38" i="1"/>
  <c r="K36" i="1"/>
  <c r="J36" i="1"/>
  <c r="K34" i="1"/>
  <c r="J34" i="1"/>
  <c r="K32" i="1"/>
  <c r="K29" i="1"/>
  <c r="K28" i="1"/>
  <c r="K27" i="1"/>
  <c r="K26" i="1"/>
  <c r="K25" i="1" s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J11" i="1" s="1"/>
  <c r="J16" i="1"/>
  <c r="K15" i="1"/>
  <c r="J15" i="1"/>
  <c r="K14" i="1"/>
  <c r="J14" i="1"/>
  <c r="K13" i="1"/>
  <c r="J13" i="1"/>
  <c r="K12" i="1"/>
  <c r="J12" i="1"/>
  <c r="K11" i="1"/>
  <c r="K9" i="1"/>
  <c r="J9" i="1"/>
  <c r="K8" i="1"/>
  <c r="J8" i="1"/>
  <c r="K7" i="1"/>
  <c r="J7" i="1"/>
  <c r="K5" i="1"/>
  <c r="K6" i="1" s="1"/>
  <c r="K4" i="1" s="1"/>
  <c r="K43" i="1" s="1"/>
  <c r="J5" i="1"/>
  <c r="J6" i="1" s="1"/>
  <c r="J4" i="1" s="1"/>
  <c r="J43" i="1" s="1"/>
  <c r="K44" i="1" l="1"/>
  <c r="K45" i="1" s="1"/>
  <c r="K50" i="1" s="1"/>
  <c r="J45" i="1"/>
  <c r="J44" i="1"/>
</calcChain>
</file>

<file path=xl/sharedStrings.xml><?xml version="1.0" encoding="utf-8"?>
<sst xmlns="http://schemas.openxmlformats.org/spreadsheetml/2006/main" count="81" uniqueCount="81">
  <si>
    <t xml:space="preserve">ОТЧЁТ по расходам на обслуживание </t>
  </si>
  <si>
    <t xml:space="preserve"> д.26 по ул. Зубковой за январь-декабрь 2019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</si>
  <si>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</si>
  <si>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</si>
  <si>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</si>
  <si>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</si>
  <si>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</si>
  <si>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уборщицы, рабочих м/пр</t>
  </si>
  <si>
    <t>1.2.</t>
  </si>
  <si>
    <t>Начисление на зарплату 30.2%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</si>
  <si>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</si>
  <si>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</si>
  <si>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</si>
  <si>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</si>
  <si>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</si>
  <si>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</si>
  <si>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</si>
  <si>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</si>
  <si>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</si>
  <si>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</si>
  <si>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</si>
  <si>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</si>
  <si>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</si>
  <si>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</si>
  <si>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</si>
  <si>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</si>
  <si>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</si>
  <si>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</si>
  <si>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</si>
  <si>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</si>
  <si>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</si>
  <si>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</si>
  <si>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2.8.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</si>
  <si>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</si>
  <si>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</si>
  <si>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</si>
  <si>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</si>
  <si>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</si>
  <si>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</si>
  <si>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</si>
  <si>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</si>
  <si>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</si>
  <si>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</si>
  <si>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</si>
  <si>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</si>
  <si>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</si>
  <si>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</si>
  <si>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</si>
  <si>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</si>
  <si>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</si>
  <si>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</si>
  <si>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</si>
  <si>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</si>
  <si>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</si>
  <si>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</si>
  <si>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</si>
  <si>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</si>
  <si>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</si>
  <si>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</si>
  <si>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</si>
  <si>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</si>
  <si>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</si>
  <si>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</si>
  <si>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</si>
  <si>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</si>
  <si>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</si>
  <si>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</si>
  <si>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</si>
  <si>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</si>
  <si>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</si>
  <si>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</si>
  <si>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</si>
  <si>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</si>
  <si>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</si>
  <si>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</si>
  <si>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</si>
  <si>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</si>
  <si>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</si>
  <si>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</si>
  <si>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</si>
  <si>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Исаева Л.П.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</si>
</sst>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2" xfId="0" applyFont="1" applyBorder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/>
    <xf numFmtId="43" fontId="2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7"/>
  <sheetViews>
    <sheetView tabSelected="1" workbookViewId="0">
      <selection activeCell="K22" sqref="K22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42578125" customWidth="1"/>
    <col min="13" max="13" width="18.5703125" customWidth="1"/>
    <col min="14" max="14" width="17.5703125" customWidth="1"/>
    <col min="15" max="15" width="20" customWidth="1"/>
    <col min="16" max="16" width="17.140625" customWidth="1"/>
  </cols>
  <sheetData>
    <row r="1" spans="1:13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3" s="3" customFormat="1" ht="15.75" x14ac:dyDescent="0.25">
      <c r="J3" s="4" t="s">
        <v>2</v>
      </c>
      <c r="K3" s="4" t="s">
        <v>3</v>
      </c>
    </row>
    <row r="4" spans="1:13" s="3" customFormat="1" ht="15.75" x14ac:dyDescent="0.25">
      <c r="A4" s="5" t="s">
        <v>4</v>
      </c>
      <c r="B4" s="6" t="s">
        <v>5</v>
      </c>
      <c r="C4" s="6"/>
      <c r="D4" s="6"/>
      <c r="E4" s="6"/>
      <c r="F4" s="6"/>
      <c r="G4" s="6"/>
      <c r="H4" s="6"/>
      <c r="J4" s="7">
        <f>SUM(J5:J10)</f>
        <v>1172815.3</v>
      </c>
      <c r="K4" s="7">
        <f>SUM(K5:K10)</f>
        <v>1104533.23</v>
      </c>
    </row>
    <row r="5" spans="1:13" s="3" customFormat="1" ht="15" x14ac:dyDescent="0.2">
      <c r="B5" s="3" t="s">
        <v>6</v>
      </c>
      <c r="C5" s="8" t="s">
        <v>7</v>
      </c>
      <c r="D5" s="8"/>
      <c r="E5" s="8"/>
      <c r="F5" s="8"/>
      <c r="J5" s="9">
        <f>65321*12</f>
        <v>783852</v>
      </c>
      <c r="K5" s="9">
        <f>186476+176178.11+183753.3+185985.4</f>
        <v>732392.80999999994</v>
      </c>
    </row>
    <row r="6" spans="1:13" s="3" customFormat="1" ht="15" x14ac:dyDescent="0.2">
      <c r="B6" s="3" t="s">
        <v>8</v>
      </c>
      <c r="C6" s="10" t="s">
        <v>9</v>
      </c>
      <c r="D6" s="10"/>
      <c r="E6" s="10"/>
      <c r="F6" s="10"/>
      <c r="J6" s="11">
        <f>ROUND(J5*30.2/100,2)</f>
        <v>236723.3</v>
      </c>
      <c r="K6" s="11">
        <f>ROUND(K5*30.2/100,2)</f>
        <v>221182.63</v>
      </c>
      <c r="M6" s="12"/>
    </row>
    <row r="7" spans="1:13" s="3" customFormat="1" ht="15" x14ac:dyDescent="0.2">
      <c r="B7" s="3" t="s">
        <v>10</v>
      </c>
      <c r="C7" s="10" t="s">
        <v>11</v>
      </c>
      <c r="D7" s="10"/>
      <c r="E7" s="10"/>
      <c r="J7" s="9">
        <f>2095*10+3143*2</f>
        <v>27236</v>
      </c>
      <c r="K7" s="9">
        <f>6757.88+2929.38+5179.22+7480.07</f>
        <v>22346.55</v>
      </c>
    </row>
    <row r="8" spans="1:13" s="3" customFormat="1" ht="15" x14ac:dyDescent="0.2">
      <c r="B8" s="3" t="s">
        <v>12</v>
      </c>
      <c r="C8" s="13" t="s">
        <v>13</v>
      </c>
      <c r="J8" s="9">
        <f>9795*10</f>
        <v>97950</v>
      </c>
      <c r="K8" s="9">
        <f>35035+21543.05+27233.59+8175.96</f>
        <v>91987.6</v>
      </c>
    </row>
    <row r="9" spans="1:13" s="3" customFormat="1" ht="15" x14ac:dyDescent="0.2">
      <c r="B9" s="3" t="s">
        <v>14</v>
      </c>
      <c r="C9" s="3" t="s">
        <v>15</v>
      </c>
      <c r="J9" s="9">
        <f>1951*10+3772*2</f>
        <v>27054</v>
      </c>
      <c r="K9" s="9">
        <f>19724.49+3481.16+472.82+12945.17</f>
        <v>36623.64</v>
      </c>
    </row>
    <row r="10" spans="1:13" s="3" customFormat="1" ht="15" x14ac:dyDescent="0.2">
      <c r="J10" s="9"/>
      <c r="K10" s="9"/>
    </row>
    <row r="11" spans="1:13" s="3" customFormat="1" ht="15.75" x14ac:dyDescent="0.25">
      <c r="A11" s="5" t="s">
        <v>16</v>
      </c>
      <c r="B11" s="6" t="s">
        <v>17</v>
      </c>
      <c r="C11" s="6"/>
      <c r="D11" s="6"/>
      <c r="E11" s="6"/>
      <c r="F11" s="6"/>
      <c r="J11" s="7">
        <f>SUM(J12:J19)</f>
        <v>970050</v>
      </c>
      <c r="K11" s="7">
        <f>SUM(K12:K19)</f>
        <v>923290.41999999993</v>
      </c>
    </row>
    <row r="12" spans="1:13" s="3" customFormat="1" ht="15" x14ac:dyDescent="0.2">
      <c r="B12" s="14" t="s">
        <v>18</v>
      </c>
      <c r="C12" s="10" t="s">
        <v>19</v>
      </c>
      <c r="D12" s="10"/>
      <c r="E12" s="14"/>
      <c r="F12" s="14"/>
      <c r="J12" s="9">
        <f>27417*10</f>
        <v>274170</v>
      </c>
      <c r="K12" s="9">
        <f>100278.86+65214.97+69855.86+25439.21</f>
        <v>260788.9</v>
      </c>
    </row>
    <row r="13" spans="1:13" s="3" customFormat="1" ht="15" x14ac:dyDescent="0.2">
      <c r="B13" s="3" t="s">
        <v>20</v>
      </c>
      <c r="C13" s="10" t="s">
        <v>21</v>
      </c>
      <c r="D13" s="10"/>
      <c r="E13" s="10"/>
      <c r="J13" s="9">
        <f>28818*10</f>
        <v>288180</v>
      </c>
      <c r="K13" s="9">
        <f>82435.77+100056.85+110432.41+40760.71</f>
        <v>333685.74000000005</v>
      </c>
    </row>
    <row r="14" spans="1:13" s="3" customFormat="1" ht="15" x14ac:dyDescent="0.2">
      <c r="B14" s="3" t="s">
        <v>22</v>
      </c>
      <c r="C14" s="10" t="s">
        <v>23</v>
      </c>
      <c r="D14" s="10"/>
      <c r="E14" s="10"/>
      <c r="F14" s="10"/>
      <c r="J14" s="9">
        <f>1163*10+1220+2</f>
        <v>12852</v>
      </c>
      <c r="K14" s="9">
        <f>3548.49+3548.49+3548.49+3548.49</f>
        <v>14193.96</v>
      </c>
    </row>
    <row r="15" spans="1:13" s="3" customFormat="1" ht="15" x14ac:dyDescent="0.2">
      <c r="B15" s="3" t="s">
        <v>24</v>
      </c>
      <c r="C15" s="10" t="s">
        <v>25</v>
      </c>
      <c r="D15" s="10"/>
      <c r="E15" s="10"/>
      <c r="F15" s="10"/>
      <c r="G15" s="10"/>
      <c r="H15" s="10"/>
      <c r="J15" s="9">
        <f>11473*10+13673*2</f>
        <v>142076</v>
      </c>
      <c r="K15" s="9">
        <f>39937.43+42890.95+41979.44+35994</f>
        <v>160801.82</v>
      </c>
    </row>
    <row r="16" spans="1:13" s="3" customFormat="1" ht="15" x14ac:dyDescent="0.2">
      <c r="B16" s="3" t="s">
        <v>26</v>
      </c>
      <c r="C16" s="10" t="s">
        <v>27</v>
      </c>
      <c r="D16" s="10"/>
      <c r="E16" s="10"/>
      <c r="F16" s="10"/>
      <c r="J16" s="9">
        <f>12632*12</f>
        <v>151584</v>
      </c>
      <c r="K16" s="9">
        <v>151580</v>
      </c>
    </row>
    <row r="17" spans="1:15" s="3" customFormat="1" ht="15" x14ac:dyDescent="0.2">
      <c r="B17" s="3" t="s">
        <v>28</v>
      </c>
      <c r="C17" s="14" t="s">
        <v>29</v>
      </c>
      <c r="D17" s="14"/>
      <c r="E17" s="14"/>
      <c r="F17" s="14"/>
      <c r="J17" s="9">
        <f>897*12</f>
        <v>10764</v>
      </c>
      <c r="K17" s="9">
        <f>0</f>
        <v>0</v>
      </c>
    </row>
    <row r="18" spans="1:15" s="3" customFormat="1" ht="15" x14ac:dyDescent="0.2">
      <c r="B18" s="3" t="s">
        <v>30</v>
      </c>
      <c r="C18" s="14" t="s">
        <v>31</v>
      </c>
      <c r="D18" s="14"/>
      <c r="E18" s="14"/>
      <c r="F18" s="14"/>
      <c r="J18" s="9">
        <f>9005*10</f>
        <v>90050</v>
      </c>
      <c r="K18" s="9">
        <f>0</f>
        <v>0</v>
      </c>
    </row>
    <row r="19" spans="1:15" s="3" customFormat="1" ht="15" x14ac:dyDescent="0.2">
      <c r="B19" s="3" t="s">
        <v>32</v>
      </c>
      <c r="C19" s="14" t="s">
        <v>33</v>
      </c>
      <c r="D19" s="14"/>
      <c r="E19" s="14"/>
      <c r="F19" s="14"/>
      <c r="J19" s="9">
        <f>187*2</f>
        <v>374</v>
      </c>
      <c r="K19" s="9">
        <f>140*16</f>
        <v>2240</v>
      </c>
    </row>
    <row r="20" spans="1:15" s="3" customFormat="1" ht="15.75" x14ac:dyDescent="0.25">
      <c r="A20" s="5" t="s">
        <v>34</v>
      </c>
      <c r="B20" s="6" t="s">
        <v>35</v>
      </c>
      <c r="C20" s="6"/>
      <c r="D20" s="6"/>
      <c r="E20" s="6"/>
      <c r="F20" s="6"/>
      <c r="G20" s="6"/>
      <c r="H20" s="6"/>
      <c r="J20" s="7">
        <f>SUM(J21:J24)</f>
        <v>1023160</v>
      </c>
      <c r="K20" s="7">
        <f>SUM(K21:K24)</f>
        <v>989753.6</v>
      </c>
    </row>
    <row r="21" spans="1:15" s="3" customFormat="1" ht="15" x14ac:dyDescent="0.2">
      <c r="B21" s="14" t="s">
        <v>36</v>
      </c>
      <c r="C21" s="10" t="s">
        <v>37</v>
      </c>
      <c r="D21" s="10"/>
      <c r="E21" s="10"/>
      <c r="F21" s="10"/>
      <c r="G21" s="10"/>
      <c r="J21" s="9">
        <f>76585*12</f>
        <v>919020</v>
      </c>
      <c r="K21" s="9">
        <f>229754.4+229754.4+229754.4+229754.4</f>
        <v>919017.6</v>
      </c>
    </row>
    <row r="22" spans="1:15" s="3" customFormat="1" ht="15" x14ac:dyDescent="0.2">
      <c r="B22" s="14" t="s">
        <v>38</v>
      </c>
      <c r="C22" s="10" t="s">
        <v>39</v>
      </c>
      <c r="D22" s="10"/>
      <c r="E22" s="10"/>
      <c r="F22" s="10"/>
      <c r="G22" s="10"/>
      <c r="H22" s="8"/>
      <c r="J22" s="9">
        <f>5695*12</f>
        <v>68340</v>
      </c>
      <c r="K22" s="9">
        <f>64065+0+4271</f>
        <v>68336</v>
      </c>
    </row>
    <row r="23" spans="1:15" s="3" customFormat="1" ht="15" x14ac:dyDescent="0.2">
      <c r="B23" s="3" t="s">
        <v>40</v>
      </c>
      <c r="C23" s="3" t="s">
        <v>41</v>
      </c>
      <c r="J23" s="9">
        <f>750*12</f>
        <v>9000</v>
      </c>
      <c r="K23" s="9">
        <f>150*16</f>
        <v>2400</v>
      </c>
    </row>
    <row r="24" spans="1:15" s="3" customFormat="1" ht="15" x14ac:dyDescent="0.2">
      <c r="B24" s="3" t="s">
        <v>42</v>
      </c>
      <c r="C24" s="3" t="s">
        <v>43</v>
      </c>
      <c r="J24" s="9">
        <f>13400*2</f>
        <v>26800</v>
      </c>
      <c r="K24" s="9">
        <f>0</f>
        <v>0</v>
      </c>
      <c r="M24" s="15"/>
      <c r="N24" s="15"/>
      <c r="O24" s="15"/>
    </row>
    <row r="25" spans="1:15" s="3" customFormat="1" ht="15.75" x14ac:dyDescent="0.25">
      <c r="A25" s="5" t="s">
        <v>44</v>
      </c>
      <c r="B25" s="16" t="s">
        <v>45</v>
      </c>
      <c r="C25" s="16"/>
      <c r="D25" s="16"/>
      <c r="J25" s="7">
        <f>86240*10+98700*2</f>
        <v>1059800</v>
      </c>
      <c r="K25" s="7">
        <f>SUM(K26:K31)</f>
        <v>1266949.6399999999</v>
      </c>
    </row>
    <row r="26" spans="1:15" s="3" customFormat="1" ht="15" x14ac:dyDescent="0.2">
      <c r="B26" s="3" t="s">
        <v>46</v>
      </c>
      <c r="C26" s="8" t="s">
        <v>47</v>
      </c>
      <c r="D26" s="8"/>
      <c r="J26" s="9"/>
      <c r="K26" s="9">
        <f>29924.42+195863+354155.6+228032.09</f>
        <v>807975.11</v>
      </c>
    </row>
    <row r="27" spans="1:15" s="3" customFormat="1" ht="15" x14ac:dyDescent="0.2">
      <c r="B27" s="3" t="s">
        <v>48</v>
      </c>
      <c r="C27" s="10" t="s">
        <v>49</v>
      </c>
      <c r="D27" s="10"/>
      <c r="E27" s="10"/>
      <c r="F27" s="10"/>
      <c r="G27" s="10"/>
      <c r="J27" s="9"/>
      <c r="K27" s="9">
        <f>84674.22+87122.52+56779.48+76379.08</f>
        <v>304955.3</v>
      </c>
    </row>
    <row r="28" spans="1:15" s="3" customFormat="1" ht="15" x14ac:dyDescent="0.2">
      <c r="B28" s="3" t="s">
        <v>50</v>
      </c>
      <c r="C28" s="10" t="s">
        <v>51</v>
      </c>
      <c r="D28" s="10"/>
      <c r="E28" s="10"/>
      <c r="F28" s="10"/>
      <c r="G28" s="8"/>
      <c r="H28" s="8"/>
      <c r="J28" s="9"/>
      <c r="K28" s="9">
        <f>24855.65+25220.26+24603.2+43900.12</f>
        <v>118579.23000000001</v>
      </c>
    </row>
    <row r="29" spans="1:15" s="3" customFormat="1" ht="15" x14ac:dyDescent="0.2">
      <c r="B29" s="3" t="s">
        <v>52</v>
      </c>
      <c r="C29" s="14" t="s">
        <v>53</v>
      </c>
      <c r="D29" s="14"/>
      <c r="E29" s="14"/>
      <c r="F29" s="14"/>
      <c r="G29" s="8"/>
      <c r="H29" s="8"/>
      <c r="J29" s="9"/>
      <c r="K29" s="9">
        <f>200*177.2</f>
        <v>35440</v>
      </c>
    </row>
    <row r="30" spans="1:15" s="3" customFormat="1" ht="15" x14ac:dyDescent="0.2">
      <c r="B30" s="3" t="s">
        <v>54</v>
      </c>
      <c r="C30" s="14"/>
      <c r="D30" s="14"/>
      <c r="E30" s="14"/>
      <c r="F30" s="14"/>
      <c r="G30" s="8"/>
      <c r="H30" s="8"/>
      <c r="J30" s="9"/>
      <c r="K30" s="9"/>
    </row>
    <row r="31" spans="1:15" s="3" customFormat="1" ht="15" x14ac:dyDescent="0.2">
      <c r="B31" s="3" t="s">
        <v>55</v>
      </c>
      <c r="C31" s="14"/>
      <c r="D31" s="14"/>
      <c r="E31" s="14"/>
      <c r="F31" s="14"/>
      <c r="G31" s="8"/>
      <c r="H31" s="8"/>
      <c r="J31" s="9"/>
      <c r="K31" s="9"/>
    </row>
    <row r="32" spans="1:15" s="3" customFormat="1" ht="15.75" x14ac:dyDescent="0.25">
      <c r="A32" s="5" t="s">
        <v>56</v>
      </c>
      <c r="B32" s="16" t="s">
        <v>57</v>
      </c>
      <c r="C32" s="16"/>
      <c r="D32" s="16"/>
      <c r="J32" s="7">
        <v>0</v>
      </c>
      <c r="K32" s="7">
        <f>K33+K34</f>
        <v>0</v>
      </c>
    </row>
    <row r="33" spans="1:16" s="3" customFormat="1" ht="15.75" x14ac:dyDescent="0.25">
      <c r="A33" s="5"/>
      <c r="B33" s="8" t="s">
        <v>58</v>
      </c>
      <c r="C33" s="8" t="s">
        <v>59</v>
      </c>
      <c r="D33" s="8"/>
      <c r="J33" s="7">
        <v>0</v>
      </c>
      <c r="K33" s="9"/>
    </row>
    <row r="34" spans="1:16" s="3" customFormat="1" ht="15.75" x14ac:dyDescent="0.25">
      <c r="A34" s="5"/>
      <c r="B34" s="8" t="s">
        <v>60</v>
      </c>
      <c r="C34" s="8" t="s">
        <v>61</v>
      </c>
      <c r="D34" s="8"/>
      <c r="J34" s="9">
        <f>J33*0.302</f>
        <v>0</v>
      </c>
      <c r="K34" s="9">
        <f>K33*0.302</f>
        <v>0</v>
      </c>
    </row>
    <row r="35" spans="1:16" s="3" customFormat="1" ht="15.75" x14ac:dyDescent="0.25">
      <c r="A35" s="5"/>
      <c r="B35" s="16"/>
      <c r="C35" s="16"/>
      <c r="D35" s="16"/>
      <c r="J35" s="7"/>
      <c r="K35" s="7"/>
    </row>
    <row r="36" spans="1:16" s="3" customFormat="1" ht="15.75" x14ac:dyDescent="0.25">
      <c r="A36" s="5" t="s">
        <v>62</v>
      </c>
      <c r="B36" s="6" t="s">
        <v>63</v>
      </c>
      <c r="C36" s="6"/>
      <c r="D36" s="6"/>
      <c r="E36" s="6"/>
      <c r="J36" s="7">
        <f>64170*12</f>
        <v>770040</v>
      </c>
      <c r="K36" s="7">
        <f>219705.78+184060.96+210186.54+65774.66+131509.52</f>
        <v>811237.46000000008</v>
      </c>
      <c r="M36" s="17"/>
    </row>
    <row r="37" spans="1:16" s="3" customFormat="1" ht="15" x14ac:dyDescent="0.2">
      <c r="J37" s="9"/>
      <c r="K37" s="9"/>
      <c r="M37" s="17"/>
    </row>
    <row r="38" spans="1:16" s="3" customFormat="1" ht="15.75" x14ac:dyDescent="0.25">
      <c r="A38" s="5" t="s">
        <v>64</v>
      </c>
      <c r="B38" s="6" t="s">
        <v>65</v>
      </c>
      <c r="C38" s="6"/>
      <c r="D38" s="6"/>
      <c r="E38" s="6"/>
      <c r="F38" s="6"/>
      <c r="J38" s="7">
        <f>112980*10+142980*2</f>
        <v>1415760</v>
      </c>
      <c r="K38" s="7">
        <f>370498.19+380764.21+345140.81+119624.77+262885.4</f>
        <v>1478913.38</v>
      </c>
      <c r="M38" s="17"/>
    </row>
    <row r="39" spans="1:16" s="3" customFormat="1" ht="15" x14ac:dyDescent="0.2">
      <c r="J39" s="9"/>
      <c r="K39" s="9"/>
    </row>
    <row r="40" spans="1:16" s="3" customFormat="1" ht="15.75" x14ac:dyDescent="0.25">
      <c r="A40" s="5" t="s">
        <v>66</v>
      </c>
      <c r="B40" s="5" t="s">
        <v>67</v>
      </c>
      <c r="J40" s="7">
        <f>9580*12</f>
        <v>114960</v>
      </c>
      <c r="K40" s="7">
        <f>100361.64+1770+50.29+0</f>
        <v>102181.93</v>
      </c>
    </row>
    <row r="41" spans="1:16" s="3" customFormat="1" ht="15" x14ac:dyDescent="0.2">
      <c r="J41" s="9"/>
      <c r="K41" s="9"/>
    </row>
    <row r="42" spans="1:16" s="5" customFormat="1" ht="15.75" x14ac:dyDescent="0.25">
      <c r="A42" s="5" t="s">
        <v>68</v>
      </c>
      <c r="B42" s="5" t="s">
        <v>69</v>
      </c>
      <c r="J42" s="7">
        <f>81800*10+84660*2</f>
        <v>987320</v>
      </c>
      <c r="K42" s="7">
        <f>244643.92+245252.1+244058.28+253978.65</f>
        <v>987932.95000000007</v>
      </c>
    </row>
    <row r="43" spans="1:16" s="3" customFormat="1" ht="15.75" x14ac:dyDescent="0.25">
      <c r="B43" s="5" t="s">
        <v>70</v>
      </c>
      <c r="J43" s="7">
        <f>J4+J11+J20+J25+J36+J38+J40+J42</f>
        <v>7513905.2999999998</v>
      </c>
      <c r="K43" s="7">
        <f>K4+K11+K20+K25+K32+K36+K38+K40+K42</f>
        <v>7664792.6099999994</v>
      </c>
      <c r="M43" s="15"/>
      <c r="N43" s="15"/>
      <c r="O43" s="15"/>
      <c r="P43" s="15"/>
    </row>
    <row r="44" spans="1:16" s="3" customFormat="1" ht="15.75" x14ac:dyDescent="0.25">
      <c r="B44" s="5" t="s">
        <v>71</v>
      </c>
      <c r="J44" s="9">
        <f>ROUND(J43*7/100,2)</f>
        <v>525973.37</v>
      </c>
      <c r="K44" s="9">
        <f>ROUND(K43*7/100,2)</f>
        <v>536535.48</v>
      </c>
      <c r="M44" s="15"/>
      <c r="N44" s="15"/>
      <c r="O44" s="15"/>
      <c r="P44" s="15"/>
    </row>
    <row r="45" spans="1:16" s="3" customFormat="1" ht="15.75" x14ac:dyDescent="0.25">
      <c r="B45" s="6" t="s">
        <v>72</v>
      </c>
      <c r="C45" s="6"/>
      <c r="D45" s="6"/>
      <c r="J45" s="7">
        <f>SUM(J43:J44)</f>
        <v>8039878.6699999999</v>
      </c>
      <c r="K45" s="7">
        <f>SUM(K43:K44)</f>
        <v>8201328.0899999999</v>
      </c>
    </row>
    <row r="46" spans="1:16" s="3" customFormat="1" ht="15.75" x14ac:dyDescent="0.25">
      <c r="B46" s="18"/>
      <c r="C46" s="18"/>
      <c r="D46" s="18"/>
      <c r="J46" s="7"/>
      <c r="K46" s="7"/>
    </row>
    <row r="47" spans="1:16" s="5" customFormat="1" ht="15.75" x14ac:dyDescent="0.25">
      <c r="A47" s="6" t="s">
        <v>73</v>
      </c>
      <c r="B47" s="6"/>
      <c r="C47" s="6"/>
      <c r="D47" s="6"/>
      <c r="J47" s="7"/>
      <c r="K47" s="7">
        <f>1987616.49+1987616.22+1994877.18+1954353</f>
        <v>7924462.8899999997</v>
      </c>
    </row>
    <row r="48" spans="1:16" s="5" customFormat="1" ht="15.75" x14ac:dyDescent="0.25">
      <c r="A48" s="6" t="s">
        <v>74</v>
      </c>
      <c r="B48" s="6"/>
      <c r="C48" s="6"/>
      <c r="D48" s="6"/>
      <c r="E48" s="6"/>
      <c r="F48" s="6"/>
      <c r="J48" s="7"/>
      <c r="K48" s="7">
        <f>1861617.73+1846712.37+2013929.47+1947506.71</f>
        <v>7669766.2800000003</v>
      </c>
    </row>
    <row r="49" spans="1:11" s="3" customFormat="1" ht="15.75" x14ac:dyDescent="0.25">
      <c r="A49" s="5" t="s">
        <v>75</v>
      </c>
      <c r="K49" s="19">
        <f>26409.63+31973.13+26576.02+31945.37</f>
        <v>116904.15</v>
      </c>
    </row>
    <row r="50" spans="1:11" s="3" customFormat="1" ht="15.75" x14ac:dyDescent="0.25">
      <c r="A50" s="5" t="s">
        <v>76</v>
      </c>
      <c r="K50" s="20">
        <f>K48+K49-K45</f>
        <v>-414657.65999999922</v>
      </c>
    </row>
    <row r="51" spans="1:11" s="3" customFormat="1" ht="15.75" x14ac:dyDescent="0.25">
      <c r="A51" s="5"/>
    </row>
    <row r="52" spans="1:11" s="3" customFormat="1" ht="15" x14ac:dyDescent="0.2">
      <c r="B52" s="3" t="s">
        <v>77</v>
      </c>
      <c r="J52" s="3" t="s">
        <v>78</v>
      </c>
    </row>
    <row r="53" spans="1:11" s="3" customFormat="1" ht="15" x14ac:dyDescent="0.2"/>
    <row r="54" spans="1:11" s="3" customFormat="1" ht="15" x14ac:dyDescent="0.2">
      <c r="B54" s="3" t="s">
        <v>79</v>
      </c>
      <c r="I54" s="21"/>
      <c r="J54" s="3" t="s">
        <v>80</v>
      </c>
    </row>
    <row r="55" spans="1:11" s="3" customFormat="1" ht="15" x14ac:dyDescent="0.2"/>
    <row r="56" spans="1:11" s="3" customFormat="1" ht="15" x14ac:dyDescent="0.2"/>
    <row r="57" spans="1:11" s="3" customFormat="1" ht="15" x14ac:dyDescent="0.2"/>
    <row r="58" spans="1:11" s="3" customFormat="1" ht="15" x14ac:dyDescent="0.2"/>
    <row r="59" spans="1:11" s="3" customFormat="1" ht="15" x14ac:dyDescent="0.2"/>
    <row r="60" spans="1:11" s="3" customFormat="1" ht="15" x14ac:dyDescent="0.2"/>
    <row r="61" spans="1:11" s="3" customFormat="1" ht="15" x14ac:dyDescent="0.2"/>
    <row r="62" spans="1:11" s="3" customFormat="1" ht="15" x14ac:dyDescent="0.2"/>
    <row r="63" spans="1:11" s="3" customFormat="1" ht="15" x14ac:dyDescent="0.2"/>
    <row r="64" spans="1:11" s="3" customFormat="1" ht="15" x14ac:dyDescent="0.2"/>
    <row r="65" s="3" customFormat="1" ht="15" x14ac:dyDescent="0.2"/>
    <row r="66" s="3" customFormat="1" ht="15" x14ac:dyDescent="0.2"/>
    <row r="67" s="3" customFormat="1" ht="15" x14ac:dyDescent="0.2"/>
    <row r="68" s="3" customFormat="1" ht="15" x14ac:dyDescent="0.2"/>
    <row r="69" s="3" customFormat="1" ht="15" x14ac:dyDescent="0.2"/>
    <row r="70" s="3" customFormat="1" ht="15" x14ac:dyDescent="0.2"/>
    <row r="71" s="3" customFormat="1" ht="15" x14ac:dyDescent="0.2"/>
    <row r="72" s="3" customFormat="1" ht="15" x14ac:dyDescent="0.2"/>
    <row r="73" s="3" customFormat="1" ht="15" x14ac:dyDescent="0.2"/>
    <row r="74" s="3" customFormat="1" ht="15" x14ac:dyDescent="0.2"/>
    <row r="75" s="3" customFormat="1" ht="15" x14ac:dyDescent="0.2"/>
    <row r="76" s="3" customFormat="1" ht="15" x14ac:dyDescent="0.2"/>
    <row r="77" s="3" customFormat="1" ht="15" x14ac:dyDescent="0.2"/>
    <row r="78" s="3" customFormat="1" ht="15" x14ac:dyDescent="0.2"/>
    <row r="79" s="3" customFormat="1" ht="15" x14ac:dyDescent="0.2"/>
    <row r="80" s="3" customFormat="1" ht="15" x14ac:dyDescent="0.2"/>
    <row r="81" s="3" customFormat="1" ht="15" x14ac:dyDescent="0.2"/>
    <row r="82" s="3" customFormat="1" ht="15" x14ac:dyDescent="0.2"/>
    <row r="83" s="3" customFormat="1" ht="15" x14ac:dyDescent="0.2"/>
    <row r="84" s="3" customFormat="1" ht="15" x14ac:dyDescent="0.2"/>
    <row r="85" s="3" customFormat="1" ht="15" x14ac:dyDescent="0.2"/>
    <row r="86" s="3" customFormat="1" ht="15" x14ac:dyDescent="0.2"/>
    <row r="87" s="3" customFormat="1" ht="15" x14ac:dyDescent="0.2"/>
    <row r="88" s="3" customFormat="1" ht="15" x14ac:dyDescent="0.2"/>
    <row r="89" s="3" customFormat="1" ht="15" x14ac:dyDescent="0.2"/>
    <row r="90" s="3" customFormat="1" ht="15" x14ac:dyDescent="0.2"/>
    <row r="91" s="3" customFormat="1" ht="15" x14ac:dyDescent="0.2"/>
    <row r="92" s="3" customFormat="1" ht="15" x14ac:dyDescent="0.2"/>
    <row r="93" s="3" customFormat="1" ht="15" x14ac:dyDescent="0.2"/>
    <row r="94" s="3" customFormat="1" ht="15" x14ac:dyDescent="0.2"/>
    <row r="95" s="3" customFormat="1" ht="15" x14ac:dyDescent="0.2"/>
    <row r="96" s="3" customFormat="1" ht="15" x14ac:dyDescent="0.2"/>
    <row r="97" s="3" customFormat="1" ht="15" x14ac:dyDescent="0.2"/>
    <row r="98" s="3" customFormat="1" ht="15" x14ac:dyDescent="0.2"/>
    <row r="99" s="3" customFormat="1" ht="15" x14ac:dyDescent="0.2"/>
    <row r="100" s="3" customFormat="1" ht="15" x14ac:dyDescent="0.2"/>
    <row r="101" s="3" customFormat="1" ht="15" x14ac:dyDescent="0.2"/>
    <row r="102" s="3" customFormat="1" ht="15" x14ac:dyDescent="0.2"/>
    <row r="103" s="3" customFormat="1" ht="15" x14ac:dyDescent="0.2"/>
    <row r="104" s="3" customFormat="1" ht="15" x14ac:dyDescent="0.2"/>
    <row r="105" s="3" customFormat="1" ht="15" x14ac:dyDescent="0.2"/>
    <row r="106" s="3" customFormat="1" ht="15" x14ac:dyDescent="0.2"/>
    <row r="107" s="3" customFormat="1" ht="15" x14ac:dyDescent="0.2"/>
    <row r="108" s="3" customFormat="1" ht="15" x14ac:dyDescent="0.2"/>
    <row r="109" s="3" customFormat="1" ht="15" x14ac:dyDescent="0.2"/>
    <row r="110" s="3" customFormat="1" ht="15" x14ac:dyDescent="0.2"/>
    <row r="111" s="3" customFormat="1" ht="15" x14ac:dyDescent="0.2"/>
    <row r="112" s="3" customFormat="1" ht="15" x14ac:dyDescent="0.2"/>
    <row r="113" s="3" customFormat="1" ht="15" x14ac:dyDescent="0.2"/>
    <row r="114" s="3" customFormat="1" ht="15" x14ac:dyDescent="0.2"/>
    <row r="115" s="3" customFormat="1" ht="15" x14ac:dyDescent="0.2"/>
    <row r="116" s="3" customFormat="1" ht="15" x14ac:dyDescent="0.2"/>
    <row r="117" s="3" customFormat="1" ht="15" x14ac:dyDescent="0.2"/>
    <row r="118" s="3" customFormat="1" ht="15" x14ac:dyDescent="0.2"/>
    <row r="119" s="3" customFormat="1" ht="15" x14ac:dyDescent="0.2"/>
    <row r="120" s="3" customFormat="1" ht="15" x14ac:dyDescent="0.2"/>
    <row r="121" s="3" customFormat="1" ht="15" x14ac:dyDescent="0.2"/>
    <row r="122" s="3" customFormat="1" ht="15" x14ac:dyDescent="0.2"/>
    <row r="123" s="3" customFormat="1" ht="15" x14ac:dyDescent="0.2"/>
    <row r="124" s="3" customFormat="1" ht="15" x14ac:dyDescent="0.2"/>
    <row r="125" s="3" customFormat="1" ht="15" x14ac:dyDescent="0.2"/>
    <row r="126" s="3" customFormat="1" ht="15" x14ac:dyDescent="0.2"/>
    <row r="127" s="3" customFormat="1" ht="15" x14ac:dyDescent="0.2"/>
    <row r="128" s="3" customFormat="1" ht="15" x14ac:dyDescent="0.2"/>
    <row r="129" s="3" customFormat="1" ht="15" x14ac:dyDescent="0.2"/>
    <row r="130" s="3" customFormat="1" ht="15" x14ac:dyDescent="0.2"/>
    <row r="131" s="3" customFormat="1" ht="15" x14ac:dyDescent="0.2"/>
    <row r="132" s="3" customFormat="1" ht="15" x14ac:dyDescent="0.2"/>
    <row r="133" s="3" customFormat="1" ht="15" x14ac:dyDescent="0.2"/>
    <row r="134" s="3" customFormat="1" ht="15" x14ac:dyDescent="0.2"/>
    <row r="135" s="3" customFormat="1" ht="15" x14ac:dyDescent="0.2"/>
    <row r="136" s="3" customFormat="1" ht="15" x14ac:dyDescent="0.2"/>
    <row r="137" s="3" customFormat="1" ht="15" x14ac:dyDescent="0.2"/>
    <row r="138" s="3" customFormat="1" ht="15" x14ac:dyDescent="0.2"/>
    <row r="139" s="3" customFormat="1" ht="15" x14ac:dyDescent="0.2"/>
    <row r="140" s="3" customFormat="1" ht="15" x14ac:dyDescent="0.2"/>
    <row r="141" s="3" customFormat="1" ht="15" x14ac:dyDescent="0.2"/>
    <row r="142" s="3" customFormat="1" ht="15" x14ac:dyDescent="0.2"/>
    <row r="143" s="3" customFormat="1" ht="15" x14ac:dyDescent="0.2"/>
    <row r="144" s="3" customFormat="1" ht="15" x14ac:dyDescent="0.2"/>
    <row r="145" s="3" customFormat="1" ht="15" x14ac:dyDescent="0.2"/>
    <row r="146" s="3" customFormat="1" ht="15" x14ac:dyDescent="0.2"/>
    <row r="147" s="3" customFormat="1" ht="15" x14ac:dyDescent="0.2"/>
    <row r="148" s="3" customFormat="1" ht="15" x14ac:dyDescent="0.2"/>
    <row r="149" s="3" customFormat="1" ht="15" x14ac:dyDescent="0.2"/>
    <row r="150" s="3" customFormat="1" ht="15" x14ac:dyDescent="0.2"/>
    <row r="151" s="3" customFormat="1" ht="15" x14ac:dyDescent="0.2"/>
    <row r="152" s="3" customFormat="1" ht="15" x14ac:dyDescent="0.2"/>
    <row r="153" s="3" customFormat="1" ht="15" x14ac:dyDescent="0.2"/>
    <row r="154" s="3" customFormat="1" ht="15" x14ac:dyDescent="0.2"/>
    <row r="155" s="3" customFormat="1" ht="15" x14ac:dyDescent="0.2"/>
    <row r="156" s="3" customFormat="1" ht="15" x14ac:dyDescent="0.2"/>
    <row r="157" s="3" customFormat="1" ht="15" x14ac:dyDescent="0.2"/>
    <row r="158" s="3" customFormat="1" ht="15" x14ac:dyDescent="0.2"/>
    <row r="159" s="3" customFormat="1" ht="15" x14ac:dyDescent="0.2"/>
    <row r="160" s="3" customFormat="1" ht="15" x14ac:dyDescent="0.2"/>
    <row r="161" s="3" customFormat="1" ht="15" x14ac:dyDescent="0.2"/>
    <row r="162" s="3" customFormat="1" ht="15" x14ac:dyDescent="0.2"/>
    <row r="163" s="3" customFormat="1" ht="15" x14ac:dyDescent="0.2"/>
    <row r="164" s="3" customFormat="1" ht="15" x14ac:dyDescent="0.2"/>
    <row r="165" s="3" customFormat="1" ht="15" x14ac:dyDescent="0.2"/>
    <row r="166" s="3" customFormat="1" ht="15" x14ac:dyDescent="0.2"/>
    <row r="167" s="3" customFormat="1" ht="15" x14ac:dyDescent="0.2"/>
    <row r="168" s="3" customFormat="1" ht="15" x14ac:dyDescent="0.2"/>
    <row r="169" s="3" customFormat="1" ht="15" x14ac:dyDescent="0.2"/>
    <row r="170" s="3" customFormat="1" ht="15" x14ac:dyDescent="0.2"/>
    <row r="171" s="3" customFormat="1" ht="15" x14ac:dyDescent="0.2"/>
    <row r="172" s="3" customFormat="1" ht="15" x14ac:dyDescent="0.2"/>
    <row r="173" s="3" customFormat="1" ht="15" x14ac:dyDescent="0.2"/>
    <row r="174" s="3" customFormat="1" ht="15" x14ac:dyDescent="0.2"/>
    <row r="175" s="3" customFormat="1" ht="15" x14ac:dyDescent="0.2"/>
    <row r="176" s="3" customFormat="1" ht="15" x14ac:dyDescent="0.2"/>
    <row r="177" s="3" customFormat="1" ht="15" x14ac:dyDescent="0.2"/>
  </sheetData>
  <mergeCells count="21">
    <mergeCell ref="B45:D45"/>
    <mergeCell ref="A47:D47"/>
    <mergeCell ref="A48:F48"/>
    <mergeCell ref="C21:G21"/>
    <mergeCell ref="C22:G22"/>
    <mergeCell ref="C27:G27"/>
    <mergeCell ref="C28:F28"/>
    <mergeCell ref="B36:E36"/>
    <mergeCell ref="B38:F38"/>
    <mergeCell ref="C12:D12"/>
    <mergeCell ref="C13:E13"/>
    <mergeCell ref="C14:F14"/>
    <mergeCell ref="C15:H15"/>
    <mergeCell ref="C16:F16"/>
    <mergeCell ref="B20:H20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2020-02-05T10:28:37Z</dcterms:created>
  <dcterms:modified xsi:type="dcterms:W3CDTF">2020-02-05T10:33:16Z</dcterms:modified>
</cp:coreProperties>
</file>