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Вектор Плюс\Отчеты о выпол. работ 2019\"/>
    </mc:Choice>
  </mc:AlternateContent>
  <bookViews>
    <workbookView xWindow="0" yWindow="0" windowWidth="19200" windowHeight="11595" activeTab="1"/>
  </bookViews>
  <sheets>
    <sheet name="50-2 кв. 1-160 им. Петрова" sheetId="1" r:id="rId1"/>
    <sheet name="50-2 кв. 161-320 Учитель - 5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8" i="2" l="1"/>
  <c r="K47" i="2"/>
  <c r="K42" i="2"/>
  <c r="J42" i="2"/>
  <c r="K40" i="2"/>
  <c r="J40" i="2"/>
  <c r="K38" i="2"/>
  <c r="J38" i="2"/>
  <c r="K37" i="2"/>
  <c r="J37" i="2"/>
  <c r="K36" i="2"/>
  <c r="J36" i="2"/>
  <c r="K28" i="2"/>
  <c r="K27" i="2"/>
  <c r="K26" i="2"/>
  <c r="K25" i="2" s="1"/>
  <c r="J25" i="2"/>
  <c r="J24" i="2"/>
  <c r="K23" i="2"/>
  <c r="J23" i="2"/>
  <c r="K22" i="2"/>
  <c r="J22" i="2"/>
  <c r="K21" i="2"/>
  <c r="J21" i="2"/>
  <c r="K20" i="2"/>
  <c r="J20" i="2"/>
  <c r="K19" i="2"/>
  <c r="J19" i="2"/>
  <c r="J18" i="2"/>
  <c r="K17" i="2"/>
  <c r="J17" i="2"/>
  <c r="K16" i="2"/>
  <c r="J16" i="2"/>
  <c r="K15" i="2"/>
  <c r="J15" i="2"/>
  <c r="K14" i="2"/>
  <c r="J14" i="2"/>
  <c r="K13" i="2"/>
  <c r="J13" i="2"/>
  <c r="K12" i="2"/>
  <c r="J12" i="2"/>
  <c r="K11" i="2"/>
  <c r="J11" i="2"/>
  <c r="K9" i="2"/>
  <c r="J9" i="2"/>
  <c r="K8" i="2"/>
  <c r="J8" i="2"/>
  <c r="K7" i="2"/>
  <c r="J7" i="2"/>
  <c r="K5" i="2"/>
  <c r="K6" i="2" s="1"/>
  <c r="K4" i="2" s="1"/>
  <c r="K43" i="2" s="1"/>
  <c r="J5" i="2"/>
  <c r="J6" i="2" s="1"/>
  <c r="J4" i="2" s="1"/>
  <c r="J43" i="2" s="1"/>
  <c r="K48" i="1"/>
  <c r="K47" i="1"/>
  <c r="K42" i="1"/>
  <c r="J42" i="1"/>
  <c r="K40" i="1"/>
  <c r="J40" i="1"/>
  <c r="K38" i="1"/>
  <c r="J38" i="1"/>
  <c r="K37" i="1"/>
  <c r="J37" i="1"/>
  <c r="K36" i="1"/>
  <c r="J36" i="1"/>
  <c r="K28" i="1"/>
  <c r="K27" i="1"/>
  <c r="K26" i="1"/>
  <c r="K25" i="1" s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9" i="1"/>
  <c r="J9" i="1"/>
  <c r="K8" i="1"/>
  <c r="J8" i="1"/>
  <c r="K7" i="1"/>
  <c r="J7" i="1"/>
  <c r="K5" i="1"/>
  <c r="K6" i="1" s="1"/>
  <c r="K4" i="1" s="1"/>
  <c r="K43" i="1" s="1"/>
  <c r="J5" i="1"/>
  <c r="J6" i="1" s="1"/>
  <c r="J4" i="1" s="1"/>
  <c r="J43" i="1" s="1"/>
  <c r="K45" i="1" l="1"/>
  <c r="K44" i="1"/>
  <c r="J45" i="2"/>
  <c r="J44" i="2"/>
  <c r="J45" i="1"/>
  <c r="J44" i="1"/>
  <c r="K45" i="2"/>
  <c r="K44" i="2"/>
</calcChain>
</file>

<file path=xl/sharedStrings.xml><?xml version="1.0" encoding="utf-8"?>
<sst xmlns="http://schemas.openxmlformats.org/spreadsheetml/2006/main" count="148" uniqueCount="79">
  <si>
    <t>ОТЧЁТ по расходам на обслуживание ТСЖ "им.Петрова"</t>
  </si>
  <si>
    <t xml:space="preserve"> ул. Новосёлов д. 50 к.2, 1 - 4 п. за январь-декабрь 2019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</si>
  <si>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</si>
  <si>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</si>
  <si>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</si>
  <si>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</si>
  <si>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</si>
  <si>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</t>
  </si>
  <si>
    <t>1.2.</t>
  </si>
  <si>
    <t>Начисление на зарплату 30.2%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</si>
  <si>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</si>
  <si>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</si>
  <si>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</si>
  <si>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</si>
  <si>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</si>
  <si>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</si>
  <si>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</si>
  <si>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</si>
  <si>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</si>
  <si>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</si>
  <si>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</si>
  <si>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</si>
  <si>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</si>
  <si>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</si>
  <si>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</si>
  <si>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</si>
  <si>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</si>
  <si>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</si>
  <si>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</si>
  <si>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</si>
  <si>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</si>
  <si>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>Тех.диагностика ВДГО</t>
  </si>
  <si>
    <t>2.8.</t>
  </si>
  <si>
    <t>Испытание и измерение электрооб.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</si>
  <si>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</si>
  <si>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</si>
  <si>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</si>
  <si>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</si>
  <si>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</si>
  <si>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</si>
  <si>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</si>
  <si>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</si>
  <si>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3.4.</t>
  </si>
  <si>
    <t>Оценка соответствия лмфтов, отраб. срок служ.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</si>
  <si>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</si>
  <si>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</si>
  <si>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</si>
  <si>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</si>
  <si>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</si>
  <si>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</si>
  <si>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</si>
  <si>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</si>
  <si>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</si>
  <si>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</si>
  <si>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</si>
  <si>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4.6.</t>
  </si>
  <si>
    <t>5.</t>
  </si>
  <si>
    <t>Прочие прямые затраты:</t>
  </si>
  <si>
    <t>в том числе вознаграждение председ. правл. ЖСК</t>
  </si>
  <si>
    <t>6.</t>
  </si>
  <si>
    <t>Общеэксплуатационные расходы:</t>
  </si>
  <si>
    <t>7.</t>
  </si>
  <si>
    <t>Внеэксплуатационные расходы:</t>
  </si>
  <si>
    <t>8.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</si>
  <si>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</si>
  <si>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</si>
  <si>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</si>
  <si>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</si>
  <si>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</si>
  <si>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</si>
  <si>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Директор ООО "Вектор Плюс"</t>
  </si>
  <si>
    <t>Радин В. Е.</t>
  </si>
  <si>
    <t>Председатель ТСЖ "им. Петрова"</t>
  </si>
  <si>
    <t>Лезин Н.А.</t>
  </si>
  <si>
    <t>ОТЧЁТ по расходам на обслуживание ЖСК "Учитель-5"</t>
  </si>
  <si>
    <t>ул. Новосёлов д. 50 к.2, 5 - 8 п. за январь-декабрь 2019 г.</t>
  </si>
  <si>
    <t>ППР (акты Ф-2)</t>
  </si>
  <si>
    <t>Председатель ЖСК "Учитель - 5"</t>
  </si>
  <si>
    <t>Фомина Т.А.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</si>
</sst>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164" fontId="3" fillId="0" borderId="1" xfId="0" applyNumberFormat="1" applyFont="1" applyBorder="1"/>
    <xf numFmtId="164" fontId="2" fillId="0" borderId="1" xfId="0" applyNumberFormat="1" applyFont="1" applyBorder="1"/>
    <xf numFmtId="165" fontId="2" fillId="0" borderId="1" xfId="0" applyNumberFormat="1" applyFont="1" applyBorder="1"/>
    <xf numFmtId="165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/>
    <xf numFmtId="4" fontId="3" fillId="0" borderId="0" xfId="0" applyNumberFormat="1" applyFont="1"/>
    <xf numFmtId="0" fontId="3" fillId="0" borderId="0" xfId="0" applyFont="1" applyAlignment="1">
      <alignment horizontal="left"/>
    </xf>
    <xf numFmtId="0" fontId="4" fillId="0" borderId="0" xfId="0" applyFont="1"/>
    <xf numFmtId="4" fontId="0" fillId="0" borderId="0" xfId="0" applyNumberForma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5"/>
  <sheetViews>
    <sheetView workbookViewId="0">
      <selection activeCell="L50" sqref="L50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3.28515625" customWidth="1"/>
    <col min="13" max="13" width="19" style="17" customWidth="1"/>
    <col min="14" max="14" width="14.5703125" style="17" customWidth="1"/>
    <col min="15" max="15" width="11.85546875" style="17" customWidth="1"/>
    <col min="16" max="16" width="11.5703125" customWidth="1"/>
  </cols>
  <sheetData>
    <row r="1" spans="1:15" s="1" customFormat="1" ht="18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M1" s="2"/>
      <c r="N1" s="2"/>
      <c r="O1" s="2"/>
    </row>
    <row r="2" spans="1:15" s="1" customFormat="1" ht="18" x14ac:dyDescent="0.25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M2" s="2"/>
      <c r="N2" s="2"/>
      <c r="O2" s="2"/>
    </row>
    <row r="3" spans="1:15" s="3" customFormat="1" ht="15.75" x14ac:dyDescent="0.25">
      <c r="J3" s="4" t="s">
        <v>2</v>
      </c>
      <c r="K3" s="4" t="s">
        <v>3</v>
      </c>
      <c r="M3" s="5"/>
      <c r="N3" s="5"/>
      <c r="O3" s="5"/>
    </row>
    <row r="4" spans="1:15" s="3" customFormat="1" ht="15.75" x14ac:dyDescent="0.25">
      <c r="A4" s="6" t="s">
        <v>4</v>
      </c>
      <c r="B4" s="18" t="s">
        <v>5</v>
      </c>
      <c r="C4" s="18"/>
      <c r="D4" s="18"/>
      <c r="E4" s="18"/>
      <c r="F4" s="18"/>
      <c r="G4" s="18"/>
      <c r="H4" s="18"/>
      <c r="J4" s="7">
        <f>SUM(J5:J9)</f>
        <v>211618.55</v>
      </c>
      <c r="K4" s="7">
        <f>SUM(K5:K10)</f>
        <v>233468.30999999997</v>
      </c>
      <c r="M4" s="5"/>
      <c r="N4" s="5"/>
      <c r="O4" s="5"/>
    </row>
    <row r="5" spans="1:15" s="3" customFormat="1" ht="15" x14ac:dyDescent="0.2">
      <c r="B5" s="3" t="s">
        <v>6</v>
      </c>
      <c r="C5" s="19" t="s">
        <v>7</v>
      </c>
      <c r="D5" s="19"/>
      <c r="E5" s="19"/>
      <c r="F5" s="19"/>
      <c r="J5" s="8">
        <f>11073*12</f>
        <v>132876</v>
      </c>
      <c r="K5" s="8">
        <f>31740+34279.62+46895.39+34199.66</f>
        <v>147114.66999999998</v>
      </c>
      <c r="M5" s="5"/>
      <c r="N5" s="5"/>
      <c r="O5" s="5"/>
    </row>
    <row r="6" spans="1:15" s="3" customFormat="1" ht="15" x14ac:dyDescent="0.2">
      <c r="B6" s="3" t="s">
        <v>8</v>
      </c>
      <c r="C6" s="19" t="s">
        <v>9</v>
      </c>
      <c r="D6" s="19"/>
      <c r="E6" s="19"/>
      <c r="F6" s="19"/>
      <c r="J6" s="9">
        <f>ROUND(J5*30.2/100,2)</f>
        <v>40128.550000000003</v>
      </c>
      <c r="K6" s="9">
        <f>ROUND(K5*30.2/100,2)</f>
        <v>44428.63</v>
      </c>
      <c r="M6" s="10"/>
    </row>
    <row r="7" spans="1:15" s="3" customFormat="1" ht="15" x14ac:dyDescent="0.2">
      <c r="B7" s="3" t="s">
        <v>10</v>
      </c>
      <c r="C7" s="19" t="s">
        <v>11</v>
      </c>
      <c r="D7" s="19"/>
      <c r="E7" s="19"/>
      <c r="J7" s="8">
        <f>567*10+851*2</f>
        <v>7372</v>
      </c>
      <c r="K7" s="8">
        <f>8803.79+363.08+481.28+925.65</f>
        <v>10573.800000000001</v>
      </c>
      <c r="M7" s="5"/>
      <c r="N7" s="5"/>
      <c r="O7" s="5"/>
    </row>
    <row r="8" spans="1:15" s="3" customFormat="1" ht="15" x14ac:dyDescent="0.2">
      <c r="B8" s="3" t="s">
        <v>12</v>
      </c>
      <c r="C8" s="3" t="s">
        <v>13</v>
      </c>
      <c r="J8" s="8">
        <f>2392*10</f>
        <v>23920</v>
      </c>
      <c r="K8" s="8">
        <f>8158.84+5016.87+6342.07+1903.99</f>
        <v>21421.77</v>
      </c>
      <c r="M8" s="5"/>
      <c r="N8" s="5"/>
      <c r="O8" s="5"/>
    </row>
    <row r="9" spans="1:15" s="3" customFormat="1" ht="15" x14ac:dyDescent="0.2">
      <c r="B9" s="3" t="s">
        <v>14</v>
      </c>
      <c r="C9" s="3" t="s">
        <v>15</v>
      </c>
      <c r="J9" s="8">
        <f>528*10+1021*2</f>
        <v>7322</v>
      </c>
      <c r="K9" s="8">
        <f>5347.73+943.81+128.19+3509.71</f>
        <v>9929.4399999999987</v>
      </c>
      <c r="M9" s="5"/>
      <c r="N9" s="5"/>
      <c r="O9" s="5"/>
    </row>
    <row r="10" spans="1:15" s="3" customFormat="1" ht="15" x14ac:dyDescent="0.2">
      <c r="J10" s="8"/>
      <c r="K10" s="8"/>
      <c r="M10" s="5"/>
      <c r="N10" s="5"/>
      <c r="O10" s="5"/>
    </row>
    <row r="11" spans="1:15" s="3" customFormat="1" ht="15.75" x14ac:dyDescent="0.25">
      <c r="A11" s="6" t="s">
        <v>16</v>
      </c>
      <c r="B11" s="18" t="s">
        <v>17</v>
      </c>
      <c r="C11" s="18"/>
      <c r="D11" s="18"/>
      <c r="E11" s="18"/>
      <c r="F11" s="18"/>
      <c r="J11" s="7">
        <f>SUM(J12:J19)</f>
        <v>249930</v>
      </c>
      <c r="K11" s="7">
        <f>SUM(K12:K19)</f>
        <v>271655.66000000003</v>
      </c>
      <c r="M11" s="5"/>
      <c r="N11" s="5"/>
      <c r="O11" s="5"/>
    </row>
    <row r="12" spans="1:15" s="3" customFormat="1" ht="15" x14ac:dyDescent="0.2">
      <c r="B12" s="11" t="s">
        <v>18</v>
      </c>
      <c r="C12" s="19" t="s">
        <v>19</v>
      </c>
      <c r="D12" s="19"/>
      <c r="E12" s="11"/>
      <c r="F12" s="11"/>
      <c r="J12" s="8">
        <f>6696*10</f>
        <v>66960</v>
      </c>
      <c r="K12" s="8">
        <f>23352.62+15187.04+16267.8+5924.2</f>
        <v>60731.66</v>
      </c>
      <c r="M12" s="5"/>
      <c r="N12" s="5"/>
      <c r="O12" s="5"/>
    </row>
    <row r="13" spans="1:15" s="3" customFormat="1" ht="15" x14ac:dyDescent="0.2">
      <c r="B13" s="3" t="s">
        <v>20</v>
      </c>
      <c r="C13" s="19" t="s">
        <v>21</v>
      </c>
      <c r="D13" s="19"/>
      <c r="E13" s="19"/>
      <c r="J13" s="8">
        <f>7038*10</f>
        <v>70380</v>
      </c>
      <c r="K13" s="8">
        <f>19197.37+23300.9+25717.14+9492.22</f>
        <v>77707.63</v>
      </c>
      <c r="M13" s="5"/>
      <c r="N13" s="5"/>
      <c r="O13" s="5"/>
    </row>
    <row r="14" spans="1:15" s="3" customFormat="1" ht="15" x14ac:dyDescent="0.2">
      <c r="B14" s="3" t="s">
        <v>22</v>
      </c>
      <c r="C14" s="19" t="s">
        <v>23</v>
      </c>
      <c r="D14" s="19"/>
      <c r="E14" s="19"/>
      <c r="F14" s="19"/>
      <c r="J14" s="8">
        <f>283*10+297*2</f>
        <v>3424</v>
      </c>
      <c r="K14" s="8">
        <f>864.9+864.9+864.9+864.9</f>
        <v>3459.6</v>
      </c>
      <c r="M14" s="5"/>
      <c r="N14" s="5"/>
      <c r="O14" s="5"/>
    </row>
    <row r="15" spans="1:15" s="3" customFormat="1" ht="15" x14ac:dyDescent="0.2">
      <c r="B15" s="3" t="s">
        <v>24</v>
      </c>
      <c r="C15" s="19" t="s">
        <v>25</v>
      </c>
      <c r="D15" s="19"/>
      <c r="E15" s="19"/>
      <c r="F15" s="19"/>
      <c r="G15" s="19"/>
      <c r="H15" s="19"/>
      <c r="J15" s="8">
        <f>3107*10+3702*2</f>
        <v>38474</v>
      </c>
      <c r="K15" s="8">
        <f>10827.87+11628.63+11381.51+9758.76</f>
        <v>43596.770000000004</v>
      </c>
      <c r="M15" s="5"/>
      <c r="N15" s="5"/>
      <c r="O15" s="5"/>
    </row>
    <row r="16" spans="1:15" s="3" customFormat="1" ht="15" x14ac:dyDescent="0.2">
      <c r="B16" s="3" t="s">
        <v>26</v>
      </c>
      <c r="C16" s="19" t="s">
        <v>27</v>
      </c>
      <c r="D16" s="19"/>
      <c r="E16" s="19"/>
      <c r="F16" s="19"/>
      <c r="J16" s="8">
        <f>3533*12</f>
        <v>42396</v>
      </c>
      <c r="K16" s="8">
        <f>0+0+42400</f>
        <v>42400</v>
      </c>
      <c r="M16" s="5"/>
      <c r="N16" s="5"/>
      <c r="O16" s="5"/>
    </row>
    <row r="17" spans="1:15" s="3" customFormat="1" ht="15" x14ac:dyDescent="0.2">
      <c r="B17" s="3" t="s">
        <v>28</v>
      </c>
      <c r="C17" s="11" t="s">
        <v>29</v>
      </c>
      <c r="D17" s="11"/>
      <c r="E17" s="11"/>
      <c r="F17" s="11"/>
      <c r="J17" s="8">
        <f>251*12</f>
        <v>3012</v>
      </c>
      <c r="K17" s="8">
        <f>0</f>
        <v>0</v>
      </c>
    </row>
    <row r="18" spans="1:15" s="3" customFormat="1" ht="15" x14ac:dyDescent="0.2">
      <c r="B18" s="3" t="s">
        <v>30</v>
      </c>
      <c r="C18" s="11" t="s">
        <v>31</v>
      </c>
      <c r="D18" s="11"/>
      <c r="E18" s="11"/>
      <c r="F18" s="11"/>
      <c r="J18" s="8">
        <f>2519*10</f>
        <v>25190</v>
      </c>
      <c r="K18" s="8">
        <v>43200</v>
      </c>
    </row>
    <row r="19" spans="1:15" s="3" customFormat="1" ht="15" x14ac:dyDescent="0.2">
      <c r="B19" s="3" t="s">
        <v>32</v>
      </c>
      <c r="C19" s="11" t="s">
        <v>33</v>
      </c>
      <c r="D19" s="11"/>
      <c r="E19" s="11"/>
      <c r="F19" s="11"/>
      <c r="J19" s="8">
        <f>47*2</f>
        <v>94</v>
      </c>
      <c r="K19" s="8">
        <f>140*4</f>
        <v>560</v>
      </c>
    </row>
    <row r="20" spans="1:15" s="3" customFormat="1" ht="15.75" x14ac:dyDescent="0.25">
      <c r="A20" s="6" t="s">
        <v>34</v>
      </c>
      <c r="B20" s="18" t="s">
        <v>35</v>
      </c>
      <c r="C20" s="18"/>
      <c r="D20" s="18"/>
      <c r="E20" s="18"/>
      <c r="F20" s="18"/>
      <c r="G20" s="18"/>
      <c r="H20" s="18"/>
      <c r="J20" s="7">
        <f>SUM(J21:J24)</f>
        <v>268102</v>
      </c>
      <c r="K20" s="7">
        <f>SUM(K21:K24)</f>
        <v>258780</v>
      </c>
      <c r="M20" s="5"/>
      <c r="N20" s="5"/>
      <c r="O20" s="5"/>
    </row>
    <row r="21" spans="1:15" s="3" customFormat="1" ht="15" x14ac:dyDescent="0.2">
      <c r="B21" s="11" t="s">
        <v>36</v>
      </c>
      <c r="C21" s="19" t="s">
        <v>37</v>
      </c>
      <c r="D21" s="19"/>
      <c r="E21" s="19"/>
      <c r="F21" s="19"/>
      <c r="G21" s="19"/>
      <c r="J21" s="8">
        <f>20036*12</f>
        <v>240432</v>
      </c>
      <c r="K21" s="8">
        <f>60108+60108+60108+60108</f>
        <v>240432</v>
      </c>
      <c r="M21" s="5"/>
      <c r="N21" s="5"/>
      <c r="O21" s="5"/>
    </row>
    <row r="22" spans="1:15" s="3" customFormat="1" ht="15" x14ac:dyDescent="0.2">
      <c r="B22" s="11" t="s">
        <v>38</v>
      </c>
      <c r="C22" s="19" t="s">
        <v>39</v>
      </c>
      <c r="D22" s="19"/>
      <c r="E22" s="19"/>
      <c r="F22" s="19"/>
      <c r="G22" s="19"/>
      <c r="H22" s="12"/>
      <c r="J22" s="8">
        <f>1479*12</f>
        <v>17748</v>
      </c>
      <c r="K22" s="8">
        <f>0+17748+0</f>
        <v>17748</v>
      </c>
      <c r="M22" s="5"/>
      <c r="N22" s="5"/>
      <c r="O22" s="5"/>
    </row>
    <row r="23" spans="1:15" s="3" customFormat="1" ht="15" x14ac:dyDescent="0.2">
      <c r="B23" s="3" t="s">
        <v>40</v>
      </c>
      <c r="C23" s="3" t="s">
        <v>41</v>
      </c>
      <c r="J23" s="8">
        <f>188*12</f>
        <v>2256</v>
      </c>
      <c r="K23" s="8">
        <f>150*4</f>
        <v>600</v>
      </c>
      <c r="M23" s="5"/>
      <c r="N23" s="5"/>
      <c r="O23" s="5"/>
    </row>
    <row r="24" spans="1:15" s="3" customFormat="1" ht="15" x14ac:dyDescent="0.2">
      <c r="B24" s="3" t="s">
        <v>42</v>
      </c>
      <c r="C24" s="3" t="s">
        <v>43</v>
      </c>
      <c r="J24" s="8">
        <f>3833*2</f>
        <v>7666</v>
      </c>
      <c r="K24" s="8">
        <f>0</f>
        <v>0</v>
      </c>
      <c r="M24" s="5"/>
      <c r="N24" s="5"/>
      <c r="O24" s="5"/>
    </row>
    <row r="25" spans="1:15" s="3" customFormat="1" ht="15.75" x14ac:dyDescent="0.25">
      <c r="A25" s="6" t="s">
        <v>44</v>
      </c>
      <c r="B25" s="13" t="s">
        <v>45</v>
      </c>
      <c r="C25" s="13"/>
      <c r="D25" s="13"/>
      <c r="J25" s="7">
        <f>21420*10+26930*2</f>
        <v>268060</v>
      </c>
      <c r="K25" s="7">
        <f>SUM(K26:K30)</f>
        <v>488848.2</v>
      </c>
      <c r="M25" s="5"/>
      <c r="N25" s="5"/>
      <c r="O25" s="5"/>
    </row>
    <row r="26" spans="1:15" s="3" customFormat="1" ht="15" x14ac:dyDescent="0.2">
      <c r="B26" s="3" t="s">
        <v>46</v>
      </c>
      <c r="C26" s="19" t="s">
        <v>47</v>
      </c>
      <c r="D26" s="19"/>
      <c r="J26" s="8"/>
      <c r="K26" s="8">
        <f>201545.51+9451.52+128342.49+37376.57</f>
        <v>376716.09</v>
      </c>
      <c r="M26" s="5"/>
      <c r="N26" s="5"/>
      <c r="O26" s="5"/>
    </row>
    <row r="27" spans="1:15" s="3" customFormat="1" ht="15" x14ac:dyDescent="0.2">
      <c r="B27" s="3" t="s">
        <v>48</v>
      </c>
      <c r="C27" s="19" t="s">
        <v>49</v>
      </c>
      <c r="D27" s="19"/>
      <c r="E27" s="19"/>
      <c r="F27" s="19"/>
      <c r="G27" s="19"/>
      <c r="J27" s="8"/>
      <c r="K27" s="8">
        <f>20955.96+17903.95+21122.05+20000.83</f>
        <v>79982.790000000008</v>
      </c>
      <c r="M27" s="5"/>
      <c r="N27" s="5"/>
      <c r="O27" s="5"/>
    </row>
    <row r="28" spans="1:15" s="3" customFormat="1" ht="15" x14ac:dyDescent="0.2">
      <c r="B28" s="3" t="s">
        <v>50</v>
      </c>
      <c r="C28" s="19" t="s">
        <v>51</v>
      </c>
      <c r="D28" s="19"/>
      <c r="E28" s="19"/>
      <c r="F28" s="19"/>
      <c r="G28" s="12"/>
      <c r="H28" s="12"/>
      <c r="J28" s="8"/>
      <c r="K28" s="8">
        <f>6738.89+6837.74+6670.44+11902.25</f>
        <v>32149.32</v>
      </c>
      <c r="M28" s="5"/>
      <c r="N28" s="5"/>
      <c r="O28" s="5"/>
    </row>
    <row r="29" spans="1:15" s="3" customFormat="1" ht="15" x14ac:dyDescent="0.2">
      <c r="B29" s="3" t="s">
        <v>52</v>
      </c>
      <c r="C29" s="11" t="s">
        <v>53</v>
      </c>
      <c r="D29" s="11"/>
      <c r="E29" s="11"/>
      <c r="F29" s="11"/>
      <c r="G29" s="12"/>
      <c r="H29" s="12"/>
      <c r="J29" s="8"/>
      <c r="K29" s="8"/>
      <c r="M29" s="5"/>
      <c r="N29" s="5"/>
      <c r="O29" s="5"/>
    </row>
    <row r="30" spans="1:15" s="3" customFormat="1" ht="15" x14ac:dyDescent="0.2">
      <c r="B30" s="3" t="s">
        <v>54</v>
      </c>
      <c r="C30" s="11"/>
      <c r="D30" s="11"/>
      <c r="E30" s="11"/>
      <c r="F30" s="11"/>
      <c r="G30" s="12"/>
      <c r="H30" s="12"/>
      <c r="J30" s="8"/>
      <c r="K30" s="8"/>
    </row>
    <row r="31" spans="1:15" s="3" customFormat="1" ht="15.75" x14ac:dyDescent="0.25">
      <c r="A31" s="6"/>
      <c r="B31" s="3" t="s">
        <v>55</v>
      </c>
      <c r="C31" s="13"/>
      <c r="D31" s="13"/>
      <c r="J31" s="7"/>
      <c r="K31" s="7"/>
      <c r="M31" s="5"/>
      <c r="N31" s="5"/>
      <c r="O31" s="5"/>
    </row>
    <row r="32" spans="1:15" s="3" customFormat="1" ht="15.75" x14ac:dyDescent="0.25">
      <c r="A32" s="6"/>
      <c r="B32" s="11"/>
      <c r="C32" s="11"/>
      <c r="D32" s="11"/>
      <c r="J32" s="7"/>
      <c r="K32" s="7"/>
      <c r="M32" s="5"/>
      <c r="N32" s="5"/>
      <c r="O32" s="5"/>
    </row>
    <row r="33" spans="1:15" s="3" customFormat="1" ht="15.75" x14ac:dyDescent="0.25">
      <c r="A33" s="6"/>
      <c r="B33" s="11"/>
      <c r="C33" s="11"/>
      <c r="D33" s="11"/>
      <c r="J33" s="8"/>
      <c r="K33" s="8"/>
      <c r="M33" s="5"/>
      <c r="N33" s="5"/>
      <c r="O33" s="5"/>
    </row>
    <row r="34" spans="1:15" s="3" customFormat="1" ht="15.75" x14ac:dyDescent="0.25">
      <c r="A34" s="6"/>
      <c r="B34" s="11"/>
      <c r="C34" s="11"/>
      <c r="D34" s="11"/>
      <c r="J34" s="8"/>
      <c r="K34" s="8"/>
      <c r="M34" s="5"/>
      <c r="N34" s="5"/>
      <c r="O34" s="5"/>
    </row>
    <row r="35" spans="1:15" s="3" customFormat="1" ht="15" x14ac:dyDescent="0.2">
      <c r="J35" s="8"/>
      <c r="K35" s="8"/>
      <c r="M35" s="5"/>
      <c r="N35" s="5"/>
      <c r="O35" s="5"/>
    </row>
    <row r="36" spans="1:15" s="3" customFormat="1" ht="15.75" x14ac:dyDescent="0.25">
      <c r="A36" s="6" t="s">
        <v>56</v>
      </c>
      <c r="B36" s="18" t="s">
        <v>57</v>
      </c>
      <c r="C36" s="18"/>
      <c r="D36" s="18"/>
      <c r="E36" s="18"/>
      <c r="J36" s="7">
        <f>22840*10+23840*2</f>
        <v>276080</v>
      </c>
      <c r="K36" s="7">
        <f>K37+54104.8+42784.15+49492.3+15657.19+34948.94</f>
        <v>318139.38</v>
      </c>
      <c r="M36" s="5"/>
      <c r="N36" s="5"/>
      <c r="O36" s="5"/>
    </row>
    <row r="37" spans="1:15" s="3" customFormat="1" ht="15" x14ac:dyDescent="0.2">
      <c r="B37" s="3" t="s">
        <v>58</v>
      </c>
      <c r="J37" s="8">
        <f>7570*12</f>
        <v>90840</v>
      </c>
      <c r="K37" s="8">
        <f>15144+22716+37860+45432</f>
        <v>121152</v>
      </c>
      <c r="M37" s="5"/>
      <c r="N37" s="5"/>
      <c r="O37" s="5"/>
    </row>
    <row r="38" spans="1:15" s="3" customFormat="1" ht="15.75" x14ac:dyDescent="0.25">
      <c r="A38" s="6" t="s">
        <v>59</v>
      </c>
      <c r="B38" s="18" t="s">
        <v>60</v>
      </c>
      <c r="C38" s="18"/>
      <c r="D38" s="18"/>
      <c r="E38" s="18"/>
      <c r="F38" s="18"/>
      <c r="J38" s="7">
        <f>33010*10+36240*2</f>
        <v>402580</v>
      </c>
      <c r="K38" s="7">
        <f>108316.24+111234.06+100793.33+34934.67+66597.63</f>
        <v>421875.93</v>
      </c>
      <c r="M38" s="5"/>
      <c r="N38" s="5"/>
      <c r="O38" s="5"/>
    </row>
    <row r="39" spans="1:15" s="3" customFormat="1" ht="15" x14ac:dyDescent="0.2">
      <c r="J39" s="8"/>
      <c r="K39" s="8"/>
      <c r="M39" s="5"/>
      <c r="N39" s="5"/>
      <c r="O39" s="5"/>
    </row>
    <row r="40" spans="1:15" s="3" customFormat="1" ht="15.75" x14ac:dyDescent="0.25">
      <c r="A40" s="6" t="s">
        <v>61</v>
      </c>
      <c r="B40" s="6" t="s">
        <v>62</v>
      </c>
      <c r="J40" s="7">
        <f>2590*12</f>
        <v>31080</v>
      </c>
      <c r="K40" s="7">
        <f>27210.15+479.88+13.63+0</f>
        <v>27703.660000000003</v>
      </c>
      <c r="M40" s="5"/>
      <c r="N40" s="5"/>
      <c r="O40" s="5"/>
    </row>
    <row r="41" spans="1:15" s="3" customFormat="1" ht="15.75" x14ac:dyDescent="0.25">
      <c r="A41" s="6"/>
      <c r="B41" s="6"/>
      <c r="J41" s="7"/>
      <c r="K41" s="7"/>
      <c r="M41" s="5"/>
      <c r="N41" s="5"/>
      <c r="O41" s="5"/>
    </row>
    <row r="42" spans="1:15" s="6" customFormat="1" ht="15.75" x14ac:dyDescent="0.25">
      <c r="A42" s="6" t="s">
        <v>63</v>
      </c>
      <c r="B42" s="6" t="s">
        <v>64</v>
      </c>
      <c r="J42" s="7">
        <f>22610*10+23400*2</f>
        <v>272900</v>
      </c>
      <c r="K42" s="7">
        <f>67769.13+67769.13+67804.77+70180.5</f>
        <v>273523.53000000003</v>
      </c>
      <c r="M42" s="14"/>
      <c r="N42" s="14"/>
      <c r="O42" s="14"/>
    </row>
    <row r="43" spans="1:15" s="3" customFormat="1" ht="15.75" x14ac:dyDescent="0.25">
      <c r="B43" s="6" t="s">
        <v>65</v>
      </c>
      <c r="J43" s="7">
        <f>J4+J11+J20+J25+J36+J38+J40+J42</f>
        <v>1980350.55</v>
      </c>
      <c r="K43" s="7">
        <f>K4+K11+K20+K25+K36+K38+K40+K42</f>
        <v>2293994.67</v>
      </c>
      <c r="M43" s="5"/>
      <c r="N43" s="5"/>
      <c r="O43" s="5"/>
    </row>
    <row r="44" spans="1:15" s="3" customFormat="1" ht="15.75" x14ac:dyDescent="0.25">
      <c r="B44" s="6" t="s">
        <v>66</v>
      </c>
      <c r="J44" s="8">
        <f>ROUND(J43*7/100,2)</f>
        <v>138624.54</v>
      </c>
      <c r="K44" s="8">
        <f>ROUND(K43*7/100,2)</f>
        <v>160579.63</v>
      </c>
      <c r="M44" s="5"/>
      <c r="N44" s="5"/>
      <c r="O44" s="5"/>
    </row>
    <row r="45" spans="1:15" s="3" customFormat="1" ht="15.75" x14ac:dyDescent="0.25">
      <c r="B45" s="18" t="s">
        <v>67</v>
      </c>
      <c r="C45" s="18"/>
      <c r="D45" s="18"/>
      <c r="J45" s="7">
        <f>SUM(J43:J44)</f>
        <v>2118975.09</v>
      </c>
      <c r="K45" s="7">
        <f>SUM(K43:K44)</f>
        <v>2454574.2999999998</v>
      </c>
      <c r="M45" s="5"/>
      <c r="N45" s="5"/>
      <c r="O45" s="5"/>
    </row>
    <row r="46" spans="1:15" s="3" customFormat="1" ht="15.75" x14ac:dyDescent="0.25">
      <c r="B46" s="15"/>
      <c r="C46" s="15"/>
      <c r="D46" s="15"/>
      <c r="J46" s="7"/>
      <c r="K46" s="7"/>
      <c r="M46" s="5"/>
      <c r="N46" s="5"/>
      <c r="O46" s="5"/>
    </row>
    <row r="47" spans="1:15" s="6" customFormat="1" ht="15.75" x14ac:dyDescent="0.25">
      <c r="A47" s="18" t="s">
        <v>68</v>
      </c>
      <c r="B47" s="18"/>
      <c r="C47" s="18"/>
      <c r="D47" s="18"/>
      <c r="J47" s="7"/>
      <c r="K47" s="7">
        <f>531211.52+531211.5+533723.31+522743.97</f>
        <v>2118890.2999999998</v>
      </c>
      <c r="M47" s="14"/>
      <c r="N47" s="14"/>
      <c r="O47" s="14"/>
    </row>
    <row r="48" spans="1:15" s="6" customFormat="1" ht="15.75" x14ac:dyDescent="0.25">
      <c r="A48" s="18" t="s">
        <v>69</v>
      </c>
      <c r="B48" s="18"/>
      <c r="C48" s="18"/>
      <c r="D48" s="18"/>
      <c r="E48" s="18"/>
      <c r="F48" s="18"/>
      <c r="J48" s="7"/>
      <c r="K48" s="7">
        <f>504974.82+504572.42+554160.28+521959.3</f>
        <v>2085666.82</v>
      </c>
      <c r="M48" s="14"/>
      <c r="N48" s="14"/>
      <c r="O48" s="14"/>
    </row>
    <row r="49" spans="2:15" s="3" customFormat="1" ht="15" x14ac:dyDescent="0.2">
      <c r="M49" s="5"/>
      <c r="N49" s="5"/>
      <c r="O49" s="5"/>
    </row>
    <row r="50" spans="2:15" s="3" customFormat="1" ht="15" x14ac:dyDescent="0.2">
      <c r="B50" s="3" t="s">
        <v>70</v>
      </c>
      <c r="J50" s="3" t="s">
        <v>71</v>
      </c>
      <c r="M50" s="5"/>
      <c r="N50" s="5"/>
      <c r="O50" s="5"/>
    </row>
    <row r="51" spans="2:15" s="3" customFormat="1" ht="15" x14ac:dyDescent="0.2">
      <c r="M51" s="5"/>
      <c r="N51" s="5"/>
      <c r="O51" s="5"/>
    </row>
    <row r="52" spans="2:15" s="3" customFormat="1" ht="16.5" customHeight="1" x14ac:dyDescent="0.2">
      <c r="B52" s="3" t="s">
        <v>72</v>
      </c>
      <c r="I52" s="16"/>
      <c r="J52" s="16" t="s">
        <v>73</v>
      </c>
      <c r="M52" s="5"/>
      <c r="N52" s="5"/>
      <c r="O52" s="5"/>
    </row>
    <row r="53" spans="2:15" s="3" customFormat="1" ht="15" x14ac:dyDescent="0.2">
      <c r="M53" s="5"/>
      <c r="N53" s="5"/>
      <c r="O53" s="5"/>
    </row>
    <row r="54" spans="2:15" s="3" customFormat="1" ht="15" x14ac:dyDescent="0.2">
      <c r="M54" s="5"/>
      <c r="N54" s="5"/>
      <c r="O54" s="5"/>
    </row>
    <row r="55" spans="2:15" s="3" customFormat="1" ht="15" x14ac:dyDescent="0.2">
      <c r="M55" s="5"/>
      <c r="N55" s="5"/>
      <c r="O55" s="5"/>
    </row>
    <row r="56" spans="2:15" s="3" customFormat="1" ht="15" x14ac:dyDescent="0.2">
      <c r="M56" s="5"/>
      <c r="N56" s="5"/>
      <c r="O56" s="5"/>
    </row>
    <row r="57" spans="2:15" s="3" customFormat="1" ht="15" x14ac:dyDescent="0.2">
      <c r="M57" s="5"/>
      <c r="N57" s="5"/>
      <c r="O57" s="5"/>
    </row>
    <row r="58" spans="2:15" s="3" customFormat="1" ht="15" x14ac:dyDescent="0.2">
      <c r="M58" s="5"/>
      <c r="N58" s="5"/>
      <c r="O58" s="5"/>
    </row>
    <row r="59" spans="2:15" s="3" customFormat="1" ht="15" x14ac:dyDescent="0.2">
      <c r="M59" s="5"/>
      <c r="N59" s="5"/>
      <c r="O59" s="5"/>
    </row>
    <row r="60" spans="2:15" s="3" customFormat="1" ht="15" x14ac:dyDescent="0.2">
      <c r="M60" s="5"/>
      <c r="N60" s="5"/>
      <c r="O60" s="5"/>
    </row>
    <row r="61" spans="2:15" s="3" customFormat="1" ht="15" x14ac:dyDescent="0.2">
      <c r="M61" s="5"/>
      <c r="N61" s="5"/>
      <c r="O61" s="5"/>
    </row>
    <row r="62" spans="2:15" s="3" customFormat="1" ht="15" x14ac:dyDescent="0.2">
      <c r="M62" s="5"/>
      <c r="N62" s="5"/>
      <c r="O62" s="5"/>
    </row>
    <row r="63" spans="2:15" s="3" customFormat="1" ht="15" x14ac:dyDescent="0.2">
      <c r="M63" s="5"/>
      <c r="N63" s="5"/>
      <c r="O63" s="5"/>
    </row>
    <row r="64" spans="2:15" s="3" customFormat="1" ht="15" x14ac:dyDescent="0.2">
      <c r="M64" s="5"/>
      <c r="N64" s="5"/>
      <c r="O64" s="5"/>
    </row>
    <row r="65" spans="13:15" s="3" customFormat="1" ht="15" x14ac:dyDescent="0.2">
      <c r="M65" s="5"/>
      <c r="N65" s="5"/>
      <c r="O65" s="5"/>
    </row>
    <row r="66" spans="13:15" s="3" customFormat="1" ht="15" x14ac:dyDescent="0.2">
      <c r="M66" s="5"/>
      <c r="N66" s="5"/>
      <c r="O66" s="5"/>
    </row>
    <row r="67" spans="13:15" s="3" customFormat="1" ht="15" x14ac:dyDescent="0.2">
      <c r="M67" s="5"/>
      <c r="N67" s="5"/>
      <c r="O67" s="5"/>
    </row>
    <row r="68" spans="13:15" s="3" customFormat="1" ht="15" x14ac:dyDescent="0.2">
      <c r="M68" s="5"/>
      <c r="N68" s="5"/>
      <c r="O68" s="5"/>
    </row>
    <row r="69" spans="13:15" s="3" customFormat="1" ht="15" x14ac:dyDescent="0.2">
      <c r="M69" s="5"/>
      <c r="N69" s="5"/>
      <c r="O69" s="5"/>
    </row>
    <row r="70" spans="13:15" s="3" customFormat="1" ht="15" x14ac:dyDescent="0.2">
      <c r="M70" s="5"/>
      <c r="N70" s="5"/>
      <c r="O70" s="5"/>
    </row>
    <row r="71" spans="13:15" s="3" customFormat="1" ht="15" x14ac:dyDescent="0.2">
      <c r="M71" s="5"/>
      <c r="N71" s="5"/>
      <c r="O71" s="5"/>
    </row>
    <row r="72" spans="13:15" s="3" customFormat="1" ht="15" x14ac:dyDescent="0.2">
      <c r="M72" s="5"/>
      <c r="N72" s="5"/>
      <c r="O72" s="5"/>
    </row>
    <row r="73" spans="13:15" s="3" customFormat="1" ht="15" x14ac:dyDescent="0.2">
      <c r="M73" s="5"/>
      <c r="N73" s="5"/>
      <c r="O73" s="5"/>
    </row>
    <row r="74" spans="13:15" s="3" customFormat="1" ht="15" x14ac:dyDescent="0.2">
      <c r="M74" s="5"/>
      <c r="N74" s="5"/>
      <c r="O74" s="5"/>
    </row>
    <row r="75" spans="13:15" s="3" customFormat="1" ht="15" x14ac:dyDescent="0.2">
      <c r="M75" s="5"/>
      <c r="N75" s="5"/>
      <c r="O75" s="5"/>
    </row>
    <row r="76" spans="13:15" s="3" customFormat="1" ht="15" x14ac:dyDescent="0.2">
      <c r="M76" s="5"/>
      <c r="N76" s="5"/>
      <c r="O76" s="5"/>
    </row>
    <row r="77" spans="13:15" s="3" customFormat="1" ht="15" x14ac:dyDescent="0.2">
      <c r="M77" s="5"/>
      <c r="N77" s="5"/>
      <c r="O77" s="5"/>
    </row>
    <row r="78" spans="13:15" s="3" customFormat="1" ht="15" x14ac:dyDescent="0.2">
      <c r="M78" s="5"/>
      <c r="N78" s="5"/>
      <c r="O78" s="5"/>
    </row>
    <row r="79" spans="13:15" s="3" customFormat="1" ht="15" x14ac:dyDescent="0.2">
      <c r="M79" s="5"/>
      <c r="N79" s="5"/>
      <c r="O79" s="5"/>
    </row>
    <row r="80" spans="13:15" s="3" customFormat="1" ht="15" x14ac:dyDescent="0.2">
      <c r="M80" s="5"/>
      <c r="N80" s="5"/>
      <c r="O80" s="5"/>
    </row>
    <row r="81" spans="13:15" s="3" customFormat="1" ht="15" x14ac:dyDescent="0.2">
      <c r="M81" s="5"/>
      <c r="N81" s="5"/>
      <c r="O81" s="5"/>
    </row>
    <row r="82" spans="13:15" s="3" customFormat="1" ht="15" x14ac:dyDescent="0.2">
      <c r="M82" s="5"/>
      <c r="N82" s="5"/>
      <c r="O82" s="5"/>
    </row>
    <row r="83" spans="13:15" s="3" customFormat="1" ht="15" x14ac:dyDescent="0.2">
      <c r="M83" s="5"/>
      <c r="N83" s="5"/>
      <c r="O83" s="5"/>
    </row>
    <row r="84" spans="13:15" s="3" customFormat="1" ht="15" x14ac:dyDescent="0.2">
      <c r="M84" s="5"/>
      <c r="N84" s="5"/>
      <c r="O84" s="5"/>
    </row>
    <row r="85" spans="13:15" s="3" customFormat="1" ht="15" x14ac:dyDescent="0.2">
      <c r="M85" s="5"/>
      <c r="N85" s="5"/>
      <c r="O85" s="5"/>
    </row>
    <row r="86" spans="13:15" s="3" customFormat="1" ht="15" x14ac:dyDescent="0.2">
      <c r="M86" s="5"/>
      <c r="N86" s="5"/>
      <c r="O86" s="5"/>
    </row>
    <row r="87" spans="13:15" s="3" customFormat="1" ht="15" x14ac:dyDescent="0.2">
      <c r="M87" s="5"/>
      <c r="N87" s="5"/>
      <c r="O87" s="5"/>
    </row>
    <row r="88" spans="13:15" s="3" customFormat="1" ht="15" x14ac:dyDescent="0.2">
      <c r="M88" s="5"/>
      <c r="N88" s="5"/>
      <c r="O88" s="5"/>
    </row>
    <row r="89" spans="13:15" s="3" customFormat="1" ht="15" x14ac:dyDescent="0.2">
      <c r="M89" s="5"/>
      <c r="N89" s="5"/>
      <c r="O89" s="5"/>
    </row>
    <row r="90" spans="13:15" s="3" customFormat="1" ht="15" x14ac:dyDescent="0.2">
      <c r="M90" s="5"/>
      <c r="N90" s="5"/>
      <c r="O90" s="5"/>
    </row>
    <row r="91" spans="13:15" s="3" customFormat="1" ht="15" x14ac:dyDescent="0.2">
      <c r="M91" s="5"/>
      <c r="N91" s="5"/>
      <c r="O91" s="5"/>
    </row>
    <row r="92" spans="13:15" s="3" customFormat="1" ht="15" x14ac:dyDescent="0.2">
      <c r="M92" s="5"/>
      <c r="N92" s="5"/>
      <c r="O92" s="5"/>
    </row>
    <row r="93" spans="13:15" s="3" customFormat="1" ht="15" x14ac:dyDescent="0.2">
      <c r="M93" s="5"/>
      <c r="N93" s="5"/>
      <c r="O93" s="5"/>
    </row>
    <row r="94" spans="13:15" s="3" customFormat="1" ht="15" x14ac:dyDescent="0.2">
      <c r="M94" s="5"/>
      <c r="N94" s="5"/>
      <c r="O94" s="5"/>
    </row>
    <row r="95" spans="13:15" s="3" customFormat="1" ht="15" x14ac:dyDescent="0.2">
      <c r="M95" s="5"/>
      <c r="N95" s="5"/>
      <c r="O95" s="5"/>
    </row>
    <row r="96" spans="13:15" s="3" customFormat="1" ht="15" x14ac:dyDescent="0.2">
      <c r="M96" s="5"/>
      <c r="N96" s="5"/>
      <c r="O96" s="5"/>
    </row>
    <row r="97" spans="13:15" s="3" customFormat="1" ht="15" x14ac:dyDescent="0.2">
      <c r="M97" s="5"/>
      <c r="N97" s="5"/>
      <c r="O97" s="5"/>
    </row>
    <row r="98" spans="13:15" s="3" customFormat="1" ht="15" x14ac:dyDescent="0.2">
      <c r="M98" s="5"/>
      <c r="N98" s="5"/>
      <c r="O98" s="5"/>
    </row>
    <row r="99" spans="13:15" s="3" customFormat="1" ht="15" x14ac:dyDescent="0.2">
      <c r="M99" s="5"/>
      <c r="N99" s="5"/>
      <c r="O99" s="5"/>
    </row>
    <row r="100" spans="13:15" s="3" customFormat="1" ht="15" x14ac:dyDescent="0.2">
      <c r="M100" s="5"/>
      <c r="N100" s="5"/>
      <c r="O100" s="5"/>
    </row>
    <row r="101" spans="13:15" s="3" customFormat="1" ht="15" x14ac:dyDescent="0.2">
      <c r="M101" s="5"/>
      <c r="N101" s="5"/>
      <c r="O101" s="5"/>
    </row>
    <row r="102" spans="13:15" s="3" customFormat="1" ht="15" x14ac:dyDescent="0.2">
      <c r="M102" s="5"/>
      <c r="N102" s="5"/>
      <c r="O102" s="5"/>
    </row>
    <row r="103" spans="13:15" s="3" customFormat="1" ht="15" x14ac:dyDescent="0.2">
      <c r="M103" s="5"/>
      <c r="N103" s="5"/>
      <c r="O103" s="5"/>
    </row>
    <row r="104" spans="13:15" s="3" customFormat="1" ht="15" x14ac:dyDescent="0.2">
      <c r="M104" s="5"/>
      <c r="N104" s="5"/>
      <c r="O104" s="5"/>
    </row>
    <row r="105" spans="13:15" s="3" customFormat="1" ht="15" x14ac:dyDescent="0.2">
      <c r="M105" s="5"/>
      <c r="N105" s="5"/>
      <c r="O105" s="5"/>
    </row>
    <row r="106" spans="13:15" s="3" customFormat="1" ht="15" x14ac:dyDescent="0.2">
      <c r="M106" s="5"/>
      <c r="N106" s="5"/>
      <c r="O106" s="5"/>
    </row>
    <row r="107" spans="13:15" s="3" customFormat="1" ht="15" x14ac:dyDescent="0.2">
      <c r="M107" s="5"/>
      <c r="N107" s="5"/>
      <c r="O107" s="5"/>
    </row>
    <row r="108" spans="13:15" s="3" customFormat="1" ht="15" x14ac:dyDescent="0.2">
      <c r="M108" s="5"/>
      <c r="N108" s="5"/>
      <c r="O108" s="5"/>
    </row>
    <row r="109" spans="13:15" s="3" customFormat="1" ht="15" x14ac:dyDescent="0.2">
      <c r="M109" s="5"/>
      <c r="N109" s="5"/>
      <c r="O109" s="5"/>
    </row>
    <row r="110" spans="13:15" s="3" customFormat="1" ht="15" x14ac:dyDescent="0.2">
      <c r="M110" s="5"/>
      <c r="N110" s="5"/>
      <c r="O110" s="5"/>
    </row>
    <row r="111" spans="13:15" s="3" customFormat="1" ht="15" x14ac:dyDescent="0.2">
      <c r="M111" s="5"/>
      <c r="N111" s="5"/>
      <c r="O111" s="5"/>
    </row>
    <row r="112" spans="13:15" s="3" customFormat="1" ht="15" x14ac:dyDescent="0.2">
      <c r="M112" s="5"/>
      <c r="N112" s="5"/>
      <c r="O112" s="5"/>
    </row>
    <row r="113" spans="13:15" s="3" customFormat="1" ht="15" x14ac:dyDescent="0.2">
      <c r="M113" s="5"/>
      <c r="N113" s="5"/>
      <c r="O113" s="5"/>
    </row>
    <row r="114" spans="13:15" s="3" customFormat="1" ht="15" x14ac:dyDescent="0.2">
      <c r="M114" s="5"/>
      <c r="N114" s="5"/>
      <c r="O114" s="5"/>
    </row>
    <row r="115" spans="13:15" s="3" customFormat="1" ht="15" x14ac:dyDescent="0.2">
      <c r="M115" s="5"/>
      <c r="N115" s="5"/>
      <c r="O115" s="5"/>
    </row>
    <row r="116" spans="13:15" s="3" customFormat="1" ht="15" x14ac:dyDescent="0.2">
      <c r="M116" s="5"/>
      <c r="N116" s="5"/>
      <c r="O116" s="5"/>
    </row>
    <row r="117" spans="13:15" s="3" customFormat="1" ht="15" x14ac:dyDescent="0.2">
      <c r="M117" s="5"/>
      <c r="N117" s="5"/>
      <c r="O117" s="5"/>
    </row>
    <row r="118" spans="13:15" s="3" customFormat="1" ht="15" x14ac:dyDescent="0.2">
      <c r="M118" s="5"/>
      <c r="N118" s="5"/>
      <c r="O118" s="5"/>
    </row>
    <row r="119" spans="13:15" s="3" customFormat="1" ht="15" x14ac:dyDescent="0.2">
      <c r="M119" s="5"/>
      <c r="N119" s="5"/>
      <c r="O119" s="5"/>
    </row>
    <row r="120" spans="13:15" s="3" customFormat="1" ht="15" x14ac:dyDescent="0.2">
      <c r="M120" s="5"/>
      <c r="N120" s="5"/>
      <c r="O120" s="5"/>
    </row>
    <row r="121" spans="13:15" s="3" customFormat="1" ht="15" x14ac:dyDescent="0.2">
      <c r="M121" s="5"/>
      <c r="N121" s="5"/>
      <c r="O121" s="5"/>
    </row>
    <row r="122" spans="13:15" s="3" customFormat="1" ht="15" x14ac:dyDescent="0.2">
      <c r="M122" s="5"/>
      <c r="N122" s="5"/>
      <c r="O122" s="5"/>
    </row>
    <row r="123" spans="13:15" s="3" customFormat="1" ht="15" x14ac:dyDescent="0.2">
      <c r="M123" s="5"/>
      <c r="N123" s="5"/>
      <c r="O123" s="5"/>
    </row>
    <row r="124" spans="13:15" s="3" customFormat="1" ht="15" x14ac:dyDescent="0.2">
      <c r="M124" s="5"/>
      <c r="N124" s="5"/>
      <c r="O124" s="5"/>
    </row>
    <row r="125" spans="13:15" s="3" customFormat="1" ht="15" x14ac:dyDescent="0.2">
      <c r="M125" s="5"/>
      <c r="N125" s="5"/>
      <c r="O125" s="5"/>
    </row>
    <row r="126" spans="13:15" s="3" customFormat="1" ht="15" x14ac:dyDescent="0.2">
      <c r="M126" s="5"/>
      <c r="N126" s="5"/>
      <c r="O126" s="5"/>
    </row>
    <row r="127" spans="13:15" s="3" customFormat="1" ht="15" x14ac:dyDescent="0.2">
      <c r="M127" s="5"/>
      <c r="N127" s="5"/>
      <c r="O127" s="5"/>
    </row>
    <row r="128" spans="13:15" s="3" customFormat="1" ht="15" x14ac:dyDescent="0.2">
      <c r="M128" s="5"/>
      <c r="N128" s="5"/>
      <c r="O128" s="5"/>
    </row>
    <row r="129" spans="13:15" s="3" customFormat="1" ht="15" x14ac:dyDescent="0.2">
      <c r="M129" s="5"/>
      <c r="N129" s="5"/>
      <c r="O129" s="5"/>
    </row>
    <row r="130" spans="13:15" s="3" customFormat="1" ht="15" x14ac:dyDescent="0.2">
      <c r="M130" s="5"/>
      <c r="N130" s="5"/>
      <c r="O130" s="5"/>
    </row>
    <row r="131" spans="13:15" s="3" customFormat="1" ht="15" x14ac:dyDescent="0.2">
      <c r="M131" s="5"/>
      <c r="N131" s="5"/>
      <c r="O131" s="5"/>
    </row>
    <row r="132" spans="13:15" s="3" customFormat="1" ht="15" x14ac:dyDescent="0.2">
      <c r="M132" s="5"/>
      <c r="N132" s="5"/>
      <c r="O132" s="5"/>
    </row>
    <row r="133" spans="13:15" s="3" customFormat="1" ht="15" x14ac:dyDescent="0.2">
      <c r="M133" s="5"/>
      <c r="N133" s="5"/>
      <c r="O133" s="5"/>
    </row>
    <row r="134" spans="13:15" s="3" customFormat="1" ht="15" x14ac:dyDescent="0.2">
      <c r="M134" s="5"/>
      <c r="N134" s="5"/>
      <c r="O134" s="5"/>
    </row>
    <row r="135" spans="13:15" s="3" customFormat="1" ht="15" x14ac:dyDescent="0.2">
      <c r="M135" s="5"/>
      <c r="N135" s="5"/>
      <c r="O135" s="5"/>
    </row>
    <row r="136" spans="13:15" s="3" customFormat="1" ht="15" x14ac:dyDescent="0.2">
      <c r="M136" s="5"/>
      <c r="N136" s="5"/>
      <c r="O136" s="5"/>
    </row>
    <row r="137" spans="13:15" s="3" customFormat="1" ht="15" x14ac:dyDescent="0.2">
      <c r="M137" s="5"/>
      <c r="N137" s="5"/>
      <c r="O137" s="5"/>
    </row>
    <row r="138" spans="13:15" s="3" customFormat="1" ht="15" x14ac:dyDescent="0.2">
      <c r="M138" s="5"/>
      <c r="N138" s="5"/>
      <c r="O138" s="5"/>
    </row>
    <row r="139" spans="13:15" s="3" customFormat="1" ht="15" x14ac:dyDescent="0.2">
      <c r="M139" s="5"/>
      <c r="N139" s="5"/>
      <c r="O139" s="5"/>
    </row>
    <row r="140" spans="13:15" s="3" customFormat="1" ht="15" x14ac:dyDescent="0.2">
      <c r="M140" s="5"/>
      <c r="N140" s="5"/>
      <c r="O140" s="5"/>
    </row>
    <row r="141" spans="13:15" s="3" customFormat="1" ht="15" x14ac:dyDescent="0.2">
      <c r="M141" s="5"/>
      <c r="N141" s="5"/>
      <c r="O141" s="5"/>
    </row>
    <row r="142" spans="13:15" s="3" customFormat="1" ht="15" x14ac:dyDescent="0.2">
      <c r="M142" s="5"/>
      <c r="N142" s="5"/>
      <c r="O142" s="5"/>
    </row>
    <row r="143" spans="13:15" s="3" customFormat="1" ht="15" x14ac:dyDescent="0.2">
      <c r="M143" s="5"/>
      <c r="N143" s="5"/>
      <c r="O143" s="5"/>
    </row>
    <row r="144" spans="13:15" s="3" customFormat="1" ht="15" x14ac:dyDescent="0.2">
      <c r="M144" s="5"/>
      <c r="N144" s="5"/>
      <c r="O144" s="5"/>
    </row>
    <row r="145" spans="13:15" s="3" customFormat="1" ht="15" x14ac:dyDescent="0.2">
      <c r="M145" s="5"/>
      <c r="N145" s="5"/>
      <c r="O145" s="5"/>
    </row>
    <row r="146" spans="13:15" s="3" customFormat="1" ht="15" x14ac:dyDescent="0.2">
      <c r="M146" s="5"/>
      <c r="N146" s="5"/>
      <c r="O146" s="5"/>
    </row>
    <row r="147" spans="13:15" s="3" customFormat="1" ht="15" x14ac:dyDescent="0.2">
      <c r="M147" s="5"/>
      <c r="N147" s="5"/>
      <c r="O147" s="5"/>
    </row>
    <row r="148" spans="13:15" s="3" customFormat="1" ht="15" x14ac:dyDescent="0.2">
      <c r="M148" s="5"/>
      <c r="N148" s="5"/>
      <c r="O148" s="5"/>
    </row>
    <row r="149" spans="13:15" s="3" customFormat="1" ht="15" x14ac:dyDescent="0.2">
      <c r="M149" s="5"/>
      <c r="N149" s="5"/>
      <c r="O149" s="5"/>
    </row>
    <row r="150" spans="13:15" s="3" customFormat="1" ht="15" x14ac:dyDescent="0.2">
      <c r="M150" s="5"/>
      <c r="N150" s="5"/>
      <c r="O150" s="5"/>
    </row>
    <row r="151" spans="13:15" s="3" customFormat="1" ht="15" x14ac:dyDescent="0.2">
      <c r="M151" s="5"/>
      <c r="N151" s="5"/>
      <c r="O151" s="5"/>
    </row>
    <row r="152" spans="13:15" s="3" customFormat="1" ht="15" x14ac:dyDescent="0.2">
      <c r="M152" s="5"/>
      <c r="N152" s="5"/>
      <c r="O152" s="5"/>
    </row>
    <row r="153" spans="13:15" s="3" customFormat="1" ht="15" x14ac:dyDescent="0.2">
      <c r="M153" s="5"/>
      <c r="N153" s="5"/>
      <c r="O153" s="5"/>
    </row>
    <row r="154" spans="13:15" s="3" customFormat="1" ht="15" x14ac:dyDescent="0.2">
      <c r="M154" s="5"/>
      <c r="N154" s="5"/>
      <c r="O154" s="5"/>
    </row>
    <row r="155" spans="13:15" s="3" customFormat="1" ht="15" x14ac:dyDescent="0.2">
      <c r="M155" s="5"/>
      <c r="N155" s="5"/>
      <c r="O155" s="5"/>
    </row>
    <row r="156" spans="13:15" s="3" customFormat="1" ht="15" x14ac:dyDescent="0.2">
      <c r="M156" s="5"/>
      <c r="N156" s="5"/>
      <c r="O156" s="5"/>
    </row>
    <row r="157" spans="13:15" s="3" customFormat="1" ht="15" x14ac:dyDescent="0.2">
      <c r="M157" s="5"/>
      <c r="N157" s="5"/>
      <c r="O157" s="5"/>
    </row>
    <row r="158" spans="13:15" s="3" customFormat="1" ht="15" x14ac:dyDescent="0.2">
      <c r="M158" s="5"/>
      <c r="N158" s="5"/>
      <c r="O158" s="5"/>
    </row>
    <row r="159" spans="13:15" s="3" customFormat="1" ht="15" x14ac:dyDescent="0.2">
      <c r="M159" s="5"/>
      <c r="N159" s="5"/>
      <c r="O159" s="5"/>
    </row>
    <row r="160" spans="13:15" s="3" customFormat="1" ht="15" x14ac:dyDescent="0.2">
      <c r="M160" s="5"/>
      <c r="N160" s="5"/>
      <c r="O160" s="5"/>
    </row>
    <row r="161" spans="13:15" s="3" customFormat="1" ht="15" x14ac:dyDescent="0.2">
      <c r="M161" s="5"/>
      <c r="N161" s="5"/>
      <c r="O161" s="5"/>
    </row>
    <row r="162" spans="13:15" s="3" customFormat="1" ht="15" x14ac:dyDescent="0.2">
      <c r="M162" s="5"/>
      <c r="N162" s="5"/>
      <c r="O162" s="5"/>
    </row>
    <row r="163" spans="13:15" s="3" customFormat="1" ht="15" x14ac:dyDescent="0.2">
      <c r="M163" s="5"/>
      <c r="N163" s="5"/>
      <c r="O163" s="5"/>
    </row>
    <row r="164" spans="13:15" s="3" customFormat="1" ht="15" x14ac:dyDescent="0.2">
      <c r="M164" s="5"/>
      <c r="N164" s="5"/>
      <c r="O164" s="5"/>
    </row>
    <row r="165" spans="13:15" s="3" customFormat="1" ht="15" x14ac:dyDescent="0.2">
      <c r="M165" s="5"/>
      <c r="N165" s="5"/>
      <c r="O165" s="5"/>
    </row>
    <row r="166" spans="13:15" s="3" customFormat="1" ht="15" x14ac:dyDescent="0.2">
      <c r="M166" s="5"/>
      <c r="N166" s="5"/>
      <c r="O166" s="5"/>
    </row>
    <row r="167" spans="13:15" s="3" customFormat="1" ht="15" x14ac:dyDescent="0.2">
      <c r="M167" s="5"/>
      <c r="N167" s="5"/>
      <c r="O167" s="5"/>
    </row>
    <row r="168" spans="13:15" s="3" customFormat="1" ht="15" x14ac:dyDescent="0.2">
      <c r="M168" s="5"/>
      <c r="N168" s="5"/>
      <c r="O168" s="5"/>
    </row>
    <row r="169" spans="13:15" s="3" customFormat="1" ht="15" x14ac:dyDescent="0.2">
      <c r="M169" s="5"/>
      <c r="N169" s="5"/>
      <c r="O169" s="5"/>
    </row>
    <row r="170" spans="13:15" s="3" customFormat="1" ht="15" x14ac:dyDescent="0.2">
      <c r="M170" s="5"/>
      <c r="N170" s="5"/>
      <c r="O170" s="5"/>
    </row>
    <row r="171" spans="13:15" s="3" customFormat="1" ht="15" x14ac:dyDescent="0.2">
      <c r="M171" s="5"/>
      <c r="N171" s="5"/>
      <c r="O171" s="5"/>
    </row>
    <row r="172" spans="13:15" s="3" customFormat="1" ht="15" x14ac:dyDescent="0.2">
      <c r="M172" s="5"/>
      <c r="N172" s="5"/>
      <c r="O172" s="5"/>
    </row>
    <row r="173" spans="13:15" s="3" customFormat="1" ht="15" x14ac:dyDescent="0.2">
      <c r="M173" s="5"/>
      <c r="N173" s="5"/>
      <c r="O173" s="5"/>
    </row>
    <row r="174" spans="13:15" s="3" customFormat="1" ht="15" x14ac:dyDescent="0.2">
      <c r="M174" s="5"/>
      <c r="N174" s="5"/>
      <c r="O174" s="5"/>
    </row>
    <row r="175" spans="13:15" s="3" customFormat="1" ht="15" x14ac:dyDescent="0.2">
      <c r="M175" s="5"/>
      <c r="N175" s="5"/>
      <c r="O175" s="5"/>
    </row>
  </sheetData>
  <mergeCells count="23">
    <mergeCell ref="C7:E7"/>
    <mergeCell ref="A1:K1"/>
    <mergeCell ref="A2:K2"/>
    <mergeCell ref="B4:H4"/>
    <mergeCell ref="C5:F5"/>
    <mergeCell ref="C6:F6"/>
    <mergeCell ref="C28:F28"/>
    <mergeCell ref="B11:F11"/>
    <mergeCell ref="C12:D12"/>
    <mergeCell ref="C13:E13"/>
    <mergeCell ref="C14:F14"/>
    <mergeCell ref="C15:H15"/>
    <mergeCell ref="C16:F16"/>
    <mergeCell ref="B20:H20"/>
    <mergeCell ref="C21:G21"/>
    <mergeCell ref="C22:G22"/>
    <mergeCell ref="C26:D26"/>
    <mergeCell ref="C27:G27"/>
    <mergeCell ref="B36:E36"/>
    <mergeCell ref="B38:F38"/>
    <mergeCell ref="B45:D45"/>
    <mergeCell ref="A47:D47"/>
    <mergeCell ref="A48:F48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5"/>
  <sheetViews>
    <sheetView tabSelected="1" topLeftCell="A10" workbookViewId="0">
      <selection activeCell="M31" sqref="M31"/>
    </sheetView>
  </sheetViews>
  <sheetFormatPr defaultRowHeight="12.75" x14ac:dyDescent="0.2"/>
  <cols>
    <col min="1" max="1" width="2.85546875" customWidth="1"/>
    <col min="2" max="2" width="5.7109375" customWidth="1"/>
    <col min="3" max="7" width="8.5703125" customWidth="1"/>
    <col min="8" max="8" width="7.5703125" customWidth="1"/>
    <col min="9" max="9" width="0.85546875" customWidth="1"/>
    <col min="10" max="11" width="17.7109375" customWidth="1"/>
    <col min="12" max="12" width="2.140625" customWidth="1"/>
    <col min="13" max="13" width="19.42578125" style="17" customWidth="1"/>
    <col min="14" max="14" width="17.85546875" style="17" customWidth="1"/>
    <col min="15" max="15" width="13.7109375" style="17" customWidth="1"/>
    <col min="16" max="16" width="12.85546875" customWidth="1"/>
  </cols>
  <sheetData>
    <row r="1" spans="1:15" s="1" customFormat="1" ht="18" x14ac:dyDescent="0.25">
      <c r="A1" s="20" t="s">
        <v>74</v>
      </c>
      <c r="B1" s="20"/>
      <c r="C1" s="20"/>
      <c r="D1" s="20"/>
      <c r="E1" s="20"/>
      <c r="F1" s="20"/>
      <c r="G1" s="20"/>
      <c r="H1" s="20"/>
      <c r="I1" s="20"/>
      <c r="J1" s="20"/>
      <c r="K1" s="20"/>
      <c r="M1" s="2"/>
      <c r="N1" s="2"/>
      <c r="O1" s="2"/>
    </row>
    <row r="2" spans="1:15" s="1" customFormat="1" ht="18" x14ac:dyDescent="0.25">
      <c r="A2" s="20" t="s">
        <v>75</v>
      </c>
      <c r="B2" s="20"/>
      <c r="C2" s="20"/>
      <c r="D2" s="20"/>
      <c r="E2" s="20"/>
      <c r="F2" s="20"/>
      <c r="G2" s="20"/>
      <c r="H2" s="20"/>
      <c r="I2" s="20"/>
      <c r="J2" s="20"/>
      <c r="K2" s="20"/>
      <c r="M2" s="2"/>
      <c r="N2" s="2"/>
      <c r="O2" s="2"/>
    </row>
    <row r="3" spans="1:15" s="3" customFormat="1" ht="15.75" x14ac:dyDescent="0.25">
      <c r="J3" s="4" t="s">
        <v>2</v>
      </c>
      <c r="K3" s="4" t="s">
        <v>3</v>
      </c>
      <c r="M3" s="5"/>
      <c r="N3" s="5"/>
      <c r="O3" s="5"/>
    </row>
    <row r="4" spans="1:15" s="3" customFormat="1" ht="15.75" x14ac:dyDescent="0.25">
      <c r="A4" s="6" t="s">
        <v>4</v>
      </c>
      <c r="B4" s="18" t="s">
        <v>5</v>
      </c>
      <c r="C4" s="18"/>
      <c r="D4" s="18"/>
      <c r="E4" s="18"/>
      <c r="F4" s="18"/>
      <c r="G4" s="18"/>
      <c r="H4" s="18"/>
      <c r="J4" s="7">
        <f>SUM(J5:J9)</f>
        <v>228876.94</v>
      </c>
      <c r="K4" s="7">
        <f>SUM(K5:K9)</f>
        <v>232469.22</v>
      </c>
      <c r="M4" s="5"/>
      <c r="N4" s="5"/>
      <c r="O4" s="5"/>
    </row>
    <row r="5" spans="1:15" s="3" customFormat="1" ht="15" x14ac:dyDescent="0.2">
      <c r="B5" s="3" t="s">
        <v>6</v>
      </c>
      <c r="C5" s="19" t="s">
        <v>7</v>
      </c>
      <c r="D5" s="19"/>
      <c r="E5" s="19"/>
      <c r="F5" s="19"/>
      <c r="J5" s="8">
        <f>12189*12</f>
        <v>146268</v>
      </c>
      <c r="K5" s="8">
        <f>35338.72+34566.3+47185.37+34459.78</f>
        <v>151550.17000000001</v>
      </c>
      <c r="M5" s="5"/>
      <c r="N5" s="5"/>
      <c r="O5" s="5"/>
    </row>
    <row r="6" spans="1:15" s="3" customFormat="1" ht="15" x14ac:dyDescent="0.2">
      <c r="B6" s="3" t="s">
        <v>8</v>
      </c>
      <c r="C6" s="19" t="s">
        <v>9</v>
      </c>
      <c r="D6" s="19"/>
      <c r="E6" s="19"/>
      <c r="F6" s="19"/>
      <c r="J6" s="9">
        <f>ROUND(J5*30.2/100,2)</f>
        <v>44172.94</v>
      </c>
      <c r="K6" s="9">
        <f>ROUND(K5*30.2/100,2)</f>
        <v>45768.15</v>
      </c>
      <c r="M6" s="10"/>
    </row>
    <row r="7" spans="1:15" s="3" customFormat="1" ht="15" x14ac:dyDescent="0.2">
      <c r="B7" s="3" t="s">
        <v>10</v>
      </c>
      <c r="C7" s="19" t="s">
        <v>11</v>
      </c>
      <c r="D7" s="19"/>
      <c r="E7" s="19"/>
      <c r="J7" s="8">
        <f>567*10+851*2</f>
        <v>7372</v>
      </c>
      <c r="K7" s="8">
        <f>2322.13+363.09+602.28+686.58</f>
        <v>3974.08</v>
      </c>
      <c r="M7" s="5"/>
      <c r="N7" s="5"/>
      <c r="O7" s="5"/>
    </row>
    <row r="8" spans="1:15" s="3" customFormat="1" ht="15" x14ac:dyDescent="0.2">
      <c r="B8" s="3" t="s">
        <v>12</v>
      </c>
      <c r="C8" s="3" t="s">
        <v>13</v>
      </c>
      <c r="J8" s="8">
        <f>2374*10</f>
        <v>23740</v>
      </c>
      <c r="K8" s="8">
        <f>8096.24+4978.38+6293.41+1889.38</f>
        <v>21257.41</v>
      </c>
      <c r="M8" s="5"/>
      <c r="N8" s="5"/>
      <c r="O8" s="5"/>
    </row>
    <row r="9" spans="1:15" s="3" customFormat="1" ht="15" x14ac:dyDescent="0.2">
      <c r="B9" s="3" t="s">
        <v>14</v>
      </c>
      <c r="C9" s="3" t="s">
        <v>15</v>
      </c>
      <c r="J9" s="8">
        <f>528*10+1022*2</f>
        <v>7324</v>
      </c>
      <c r="K9" s="8">
        <f>5342.33+942.86+128.06+3506.16</f>
        <v>9919.41</v>
      </c>
      <c r="M9" s="5"/>
      <c r="N9" s="5"/>
      <c r="O9" s="5"/>
    </row>
    <row r="10" spans="1:15" s="3" customFormat="1" ht="15" x14ac:dyDescent="0.2">
      <c r="J10" s="8"/>
      <c r="K10" s="8"/>
      <c r="M10" s="5"/>
      <c r="N10" s="5"/>
      <c r="O10" s="5"/>
    </row>
    <row r="11" spans="1:15" s="3" customFormat="1" ht="15.75" x14ac:dyDescent="0.25">
      <c r="A11" s="6" t="s">
        <v>16</v>
      </c>
      <c r="B11" s="18" t="s">
        <v>17</v>
      </c>
      <c r="C11" s="18"/>
      <c r="D11" s="18"/>
      <c r="E11" s="18"/>
      <c r="F11" s="18"/>
      <c r="J11" s="7">
        <f>SUM(J12:J19)</f>
        <v>248882</v>
      </c>
      <c r="K11" s="7">
        <f>SUM(K12:K19)</f>
        <v>270549.46999999997</v>
      </c>
      <c r="M11" s="5"/>
      <c r="N11" s="5"/>
      <c r="O11" s="5"/>
    </row>
    <row r="12" spans="1:15" s="3" customFormat="1" ht="15" x14ac:dyDescent="0.2">
      <c r="B12" s="11" t="s">
        <v>18</v>
      </c>
      <c r="C12" s="19" t="s">
        <v>19</v>
      </c>
      <c r="D12" s="19"/>
      <c r="E12" s="11"/>
      <c r="F12" s="11"/>
      <c r="J12" s="8">
        <f>6645*10</f>
        <v>66450</v>
      </c>
      <c r="K12" s="8">
        <f>23173.43+15070.52+16142.99+5878.75</f>
        <v>60265.689999999995</v>
      </c>
      <c r="M12" s="5"/>
      <c r="N12" s="5"/>
      <c r="O12" s="5"/>
    </row>
    <row r="13" spans="1:15" s="3" customFormat="1" ht="15" x14ac:dyDescent="0.2">
      <c r="B13" s="3" t="s">
        <v>20</v>
      </c>
      <c r="C13" s="19" t="s">
        <v>21</v>
      </c>
      <c r="D13" s="19"/>
      <c r="E13" s="19"/>
      <c r="J13" s="8">
        <f>6984*10</f>
        <v>69840</v>
      </c>
      <c r="K13" s="8">
        <f>19050.08+23122.13+25519.82+9419.39</f>
        <v>77111.42</v>
      </c>
      <c r="M13" s="5"/>
      <c r="N13" s="5"/>
      <c r="O13" s="5"/>
    </row>
    <row r="14" spans="1:15" s="3" customFormat="1" ht="15" x14ac:dyDescent="0.2">
      <c r="B14" s="3" t="s">
        <v>22</v>
      </c>
      <c r="C14" s="19" t="s">
        <v>23</v>
      </c>
      <c r="D14" s="19"/>
      <c r="E14" s="19"/>
      <c r="F14" s="19"/>
      <c r="J14" s="8">
        <f>283*10+297*2</f>
        <v>3424</v>
      </c>
      <c r="K14" s="8">
        <f>864.9+864.9+864.9+864.9</f>
        <v>3459.6</v>
      </c>
      <c r="M14" s="5"/>
      <c r="N14" s="5"/>
      <c r="O14" s="5"/>
    </row>
    <row r="15" spans="1:15" s="3" customFormat="1" ht="15" x14ac:dyDescent="0.2">
      <c r="B15" s="3" t="s">
        <v>24</v>
      </c>
      <c r="C15" s="19" t="s">
        <v>25</v>
      </c>
      <c r="D15" s="19"/>
      <c r="E15" s="19"/>
      <c r="F15" s="19"/>
      <c r="G15" s="19"/>
      <c r="H15" s="19"/>
      <c r="J15" s="8">
        <f>3107*10+3703*2</f>
        <v>38476</v>
      </c>
      <c r="K15" s="8">
        <f>10816.95+11616.9+11370.03+9748.88</f>
        <v>43552.759999999995</v>
      </c>
      <c r="M15" s="5"/>
      <c r="N15" s="5"/>
      <c r="O15" s="5"/>
    </row>
    <row r="16" spans="1:15" s="3" customFormat="1" ht="15" x14ac:dyDescent="0.2">
      <c r="B16" s="3" t="s">
        <v>26</v>
      </c>
      <c r="C16" s="19" t="s">
        <v>27</v>
      </c>
      <c r="D16" s="19"/>
      <c r="E16" s="12"/>
      <c r="F16" s="12"/>
      <c r="J16" s="8">
        <f>3533*12</f>
        <v>42396</v>
      </c>
      <c r="K16" s="8">
        <f>0+0+42400</f>
        <v>42400</v>
      </c>
      <c r="M16" s="5"/>
      <c r="N16" s="5"/>
      <c r="O16" s="5"/>
    </row>
    <row r="17" spans="1:15" s="3" customFormat="1" ht="15" x14ac:dyDescent="0.2">
      <c r="B17" s="3" t="s">
        <v>28</v>
      </c>
      <c r="C17" s="11" t="s">
        <v>29</v>
      </c>
      <c r="D17" s="11"/>
      <c r="E17" s="11"/>
      <c r="F17" s="11"/>
      <c r="J17" s="8">
        <f>251*12</f>
        <v>3012</v>
      </c>
      <c r="K17" s="8">
        <f>0</f>
        <v>0</v>
      </c>
    </row>
    <row r="18" spans="1:15" s="3" customFormat="1" ht="15" x14ac:dyDescent="0.2">
      <c r="B18" s="3" t="s">
        <v>30</v>
      </c>
      <c r="C18" s="11" t="s">
        <v>31</v>
      </c>
      <c r="D18" s="11"/>
      <c r="E18" s="11"/>
      <c r="F18" s="11"/>
      <c r="J18" s="8">
        <f>2519*10</f>
        <v>25190</v>
      </c>
      <c r="K18" s="8">
        <v>43200</v>
      </c>
    </row>
    <row r="19" spans="1:15" s="3" customFormat="1" ht="15" x14ac:dyDescent="0.2">
      <c r="B19" s="3" t="s">
        <v>32</v>
      </c>
      <c r="C19" s="11" t="s">
        <v>33</v>
      </c>
      <c r="D19" s="11"/>
      <c r="E19" s="11"/>
      <c r="F19" s="11"/>
      <c r="J19" s="8">
        <f>47*2</f>
        <v>94</v>
      </c>
      <c r="K19" s="8">
        <f>140*4</f>
        <v>560</v>
      </c>
    </row>
    <row r="20" spans="1:15" s="3" customFormat="1" ht="15.75" x14ac:dyDescent="0.25">
      <c r="A20" s="6" t="s">
        <v>34</v>
      </c>
      <c r="B20" s="18" t="s">
        <v>35</v>
      </c>
      <c r="C20" s="18"/>
      <c r="D20" s="18"/>
      <c r="E20" s="18"/>
      <c r="F20" s="18"/>
      <c r="G20" s="18"/>
      <c r="H20" s="18"/>
      <c r="J20" s="7">
        <f>SUM(J21:J24)</f>
        <v>268102</v>
      </c>
      <c r="K20" s="7">
        <f>SUM(K21:K24)</f>
        <v>258780</v>
      </c>
      <c r="M20" s="5"/>
      <c r="N20" s="5"/>
      <c r="O20" s="5"/>
    </row>
    <row r="21" spans="1:15" s="3" customFormat="1" ht="15" x14ac:dyDescent="0.2">
      <c r="B21" s="11" t="s">
        <v>36</v>
      </c>
      <c r="C21" s="19" t="s">
        <v>37</v>
      </c>
      <c r="D21" s="19"/>
      <c r="E21" s="19"/>
      <c r="F21" s="19"/>
      <c r="G21" s="19"/>
      <c r="J21" s="8">
        <f>20036*12</f>
        <v>240432</v>
      </c>
      <c r="K21" s="8">
        <f>60108+60108+60108+60108</f>
        <v>240432</v>
      </c>
      <c r="M21" s="5"/>
      <c r="N21" s="5"/>
      <c r="O21" s="5"/>
    </row>
    <row r="22" spans="1:15" s="3" customFormat="1" ht="15" x14ac:dyDescent="0.2">
      <c r="B22" s="11" t="s">
        <v>38</v>
      </c>
      <c r="C22" s="19" t="s">
        <v>39</v>
      </c>
      <c r="D22" s="19"/>
      <c r="E22" s="19"/>
      <c r="F22" s="19"/>
      <c r="G22" s="19"/>
      <c r="H22" s="19"/>
      <c r="J22" s="8">
        <f>1479*12</f>
        <v>17748</v>
      </c>
      <c r="K22" s="8">
        <f>0+17748</f>
        <v>17748</v>
      </c>
      <c r="M22" s="5"/>
      <c r="N22" s="5"/>
      <c r="O22" s="5"/>
    </row>
    <row r="23" spans="1:15" s="3" customFormat="1" ht="15" x14ac:dyDescent="0.2">
      <c r="B23" s="3" t="s">
        <v>40</v>
      </c>
      <c r="C23" s="3" t="s">
        <v>41</v>
      </c>
      <c r="J23" s="8">
        <f>188*12</f>
        <v>2256</v>
      </c>
      <c r="K23" s="8">
        <f>150*4</f>
        <v>600</v>
      </c>
      <c r="M23" s="5"/>
      <c r="N23" s="5"/>
      <c r="O23" s="5"/>
    </row>
    <row r="24" spans="1:15" s="3" customFormat="1" ht="15" x14ac:dyDescent="0.2">
      <c r="B24" s="3" t="s">
        <v>42</v>
      </c>
      <c r="C24" s="3" t="s">
        <v>43</v>
      </c>
      <c r="J24" s="8">
        <f>3833*2</f>
        <v>7666</v>
      </c>
      <c r="K24" s="8"/>
      <c r="M24" s="5"/>
      <c r="N24" s="5"/>
      <c r="O24" s="5"/>
    </row>
    <row r="25" spans="1:15" s="3" customFormat="1" ht="15.75" x14ac:dyDescent="0.25">
      <c r="A25" s="6" t="s">
        <v>44</v>
      </c>
      <c r="B25" s="13" t="s">
        <v>45</v>
      </c>
      <c r="C25" s="13"/>
      <c r="D25" s="13"/>
      <c r="J25" s="7">
        <f>21470*10+26970*2</f>
        <v>268640</v>
      </c>
      <c r="K25" s="7">
        <f>SUM(K26:K30)</f>
        <v>502922.64</v>
      </c>
      <c r="M25" s="5"/>
      <c r="N25" s="5"/>
      <c r="O25" s="5"/>
    </row>
    <row r="26" spans="1:15" s="3" customFormat="1" ht="15" x14ac:dyDescent="0.2">
      <c r="B26" s="3" t="s">
        <v>46</v>
      </c>
      <c r="C26" s="19" t="s">
        <v>76</v>
      </c>
      <c r="D26" s="19"/>
      <c r="J26" s="8"/>
      <c r="K26" s="8">
        <f>15289.66+41076.98+145548.7+189286.24</f>
        <v>391201.58</v>
      </c>
      <c r="M26" s="5"/>
      <c r="N26" s="5"/>
      <c r="O26" s="5"/>
    </row>
    <row r="27" spans="1:15" s="3" customFormat="1" ht="15" x14ac:dyDescent="0.2">
      <c r="B27" s="3" t="s">
        <v>48</v>
      </c>
      <c r="C27" s="19" t="s">
        <v>49</v>
      </c>
      <c r="D27" s="19"/>
      <c r="E27" s="19"/>
      <c r="F27" s="19"/>
      <c r="G27" s="19"/>
      <c r="J27" s="8"/>
      <c r="K27" s="8">
        <f>20692.07+17734.84+21136.37+20040.9</f>
        <v>79604.179999999993</v>
      </c>
      <c r="M27" s="5"/>
      <c r="N27" s="5"/>
      <c r="O27" s="5"/>
    </row>
    <row r="28" spans="1:15" s="3" customFormat="1" ht="15" x14ac:dyDescent="0.2">
      <c r="B28" s="3" t="s">
        <v>50</v>
      </c>
      <c r="C28" s="19" t="s">
        <v>51</v>
      </c>
      <c r="D28" s="19"/>
      <c r="E28" s="19"/>
      <c r="F28" s="19"/>
      <c r="G28" s="19"/>
      <c r="H28" s="19"/>
      <c r="J28" s="8"/>
      <c r="K28" s="8">
        <f>6732.09+6830.84+6663.71+11890.24</f>
        <v>32116.879999999997</v>
      </c>
      <c r="M28" s="5"/>
      <c r="N28" s="5"/>
      <c r="O28" s="5"/>
    </row>
    <row r="29" spans="1:15" s="3" customFormat="1" ht="15" x14ac:dyDescent="0.2">
      <c r="B29" s="3" t="s">
        <v>52</v>
      </c>
      <c r="C29" s="11" t="s">
        <v>53</v>
      </c>
      <c r="D29" s="11"/>
      <c r="E29" s="11"/>
      <c r="F29" s="11"/>
      <c r="G29" s="12"/>
      <c r="H29" s="12"/>
      <c r="J29" s="8"/>
      <c r="K29" s="8"/>
      <c r="M29" s="5"/>
      <c r="N29" s="5"/>
      <c r="O29" s="5"/>
    </row>
    <row r="30" spans="1:15" s="3" customFormat="1" ht="15" x14ac:dyDescent="0.2">
      <c r="B30" s="3" t="s">
        <v>54</v>
      </c>
      <c r="C30" s="11"/>
      <c r="D30" s="11"/>
      <c r="E30" s="11"/>
      <c r="F30" s="11"/>
      <c r="G30" s="12"/>
      <c r="H30" s="12"/>
      <c r="J30" s="8"/>
      <c r="K30" s="8"/>
      <c r="M30" s="5"/>
      <c r="N30" s="5"/>
      <c r="O30" s="5"/>
    </row>
    <row r="31" spans="1:15" s="3" customFormat="1" ht="15.75" x14ac:dyDescent="0.25">
      <c r="A31" s="6"/>
      <c r="B31" s="3" t="s">
        <v>55</v>
      </c>
      <c r="C31" s="13"/>
      <c r="D31" s="13"/>
      <c r="J31" s="7"/>
      <c r="K31" s="7"/>
      <c r="M31" s="5"/>
      <c r="N31" s="5"/>
      <c r="O31" s="5"/>
    </row>
    <row r="32" spans="1:15" s="3" customFormat="1" ht="15.75" x14ac:dyDescent="0.25">
      <c r="A32" s="6"/>
      <c r="B32" s="11"/>
      <c r="C32" s="11"/>
      <c r="D32" s="11"/>
      <c r="J32" s="7"/>
      <c r="K32" s="7"/>
      <c r="M32" s="5"/>
      <c r="N32" s="5"/>
      <c r="O32" s="5"/>
    </row>
    <row r="33" spans="1:15" s="3" customFormat="1" ht="15.75" x14ac:dyDescent="0.25">
      <c r="A33" s="6"/>
      <c r="B33" s="11"/>
      <c r="C33" s="11"/>
      <c r="D33" s="11"/>
      <c r="J33" s="7"/>
      <c r="K33" s="7"/>
      <c r="M33" s="5"/>
      <c r="N33" s="5"/>
      <c r="O33" s="5"/>
    </row>
    <row r="34" spans="1:15" s="3" customFormat="1" ht="15.75" x14ac:dyDescent="0.25">
      <c r="A34" s="6"/>
      <c r="B34" s="11"/>
      <c r="C34" s="11"/>
      <c r="D34" s="11"/>
      <c r="J34" s="8"/>
      <c r="K34" s="8"/>
      <c r="M34" s="5"/>
      <c r="N34" s="5"/>
      <c r="O34" s="5"/>
    </row>
    <row r="35" spans="1:15" s="3" customFormat="1" ht="15.75" x14ac:dyDescent="0.25">
      <c r="A35" s="6"/>
      <c r="B35" s="15"/>
      <c r="C35" s="15"/>
      <c r="D35" s="15"/>
      <c r="J35" s="7"/>
      <c r="K35" s="7"/>
      <c r="M35" s="5"/>
      <c r="N35" s="5"/>
      <c r="O35" s="5"/>
    </row>
    <row r="36" spans="1:15" s="3" customFormat="1" ht="15.75" x14ac:dyDescent="0.25">
      <c r="A36" s="6" t="s">
        <v>56</v>
      </c>
      <c r="B36" s="18" t="s">
        <v>57</v>
      </c>
      <c r="C36" s="18"/>
      <c r="D36" s="18"/>
      <c r="E36" s="18"/>
      <c r="J36" s="7">
        <f>25440*10+26440*2</f>
        <v>307280</v>
      </c>
      <c r="K36" s="7">
        <f>K37+57102.98+42784.15+48943.51+15657.19+33552.2</f>
        <v>349312.83</v>
      </c>
      <c r="M36" s="5"/>
      <c r="N36" s="5"/>
      <c r="O36" s="5"/>
    </row>
    <row r="37" spans="1:15" s="3" customFormat="1" ht="15" x14ac:dyDescent="0.2">
      <c r="B37" s="3" t="s">
        <v>58</v>
      </c>
      <c r="J37" s="8">
        <f>10160*12</f>
        <v>121920</v>
      </c>
      <c r="K37" s="8">
        <f>0+0+20318.2+130954.6</f>
        <v>151272.80000000002</v>
      </c>
      <c r="M37" s="5"/>
      <c r="N37" s="5"/>
      <c r="O37" s="5"/>
    </row>
    <row r="38" spans="1:15" s="3" customFormat="1" ht="15.75" x14ac:dyDescent="0.25">
      <c r="A38" s="6" t="s">
        <v>59</v>
      </c>
      <c r="B38" s="18" t="s">
        <v>60</v>
      </c>
      <c r="C38" s="18"/>
      <c r="D38" s="18"/>
      <c r="E38" s="18"/>
      <c r="F38" s="18"/>
      <c r="J38" s="7">
        <f>29060*10+32180*2</f>
        <v>354960</v>
      </c>
      <c r="K38" s="7">
        <f>95239.83+97923.04+88779.58+30770.74+59149.21</f>
        <v>371862.4</v>
      </c>
      <c r="M38" s="5"/>
      <c r="N38" s="5"/>
      <c r="O38" s="5"/>
    </row>
    <row r="39" spans="1:15" s="3" customFormat="1" ht="15" x14ac:dyDescent="0.2">
      <c r="J39" s="8"/>
      <c r="K39" s="8"/>
      <c r="M39" s="5"/>
      <c r="N39" s="5"/>
      <c r="O39" s="5"/>
    </row>
    <row r="40" spans="1:15" s="3" customFormat="1" ht="15.75" x14ac:dyDescent="0.25">
      <c r="A40" s="6" t="s">
        <v>61</v>
      </c>
      <c r="B40" s="6" t="s">
        <v>62</v>
      </c>
      <c r="J40" s="7">
        <f>2590*12</f>
        <v>31080</v>
      </c>
      <c r="K40" s="7">
        <f>27182.7+479.4+13.62+0</f>
        <v>27675.72</v>
      </c>
      <c r="M40" s="5"/>
      <c r="N40" s="5"/>
      <c r="O40" s="5"/>
    </row>
    <row r="41" spans="1:15" s="3" customFormat="1" ht="15.75" x14ac:dyDescent="0.25">
      <c r="A41" s="6"/>
      <c r="B41" s="6"/>
      <c r="J41" s="7"/>
      <c r="K41" s="7"/>
      <c r="M41" s="5"/>
      <c r="N41" s="5"/>
      <c r="O41" s="5"/>
    </row>
    <row r="42" spans="1:15" s="6" customFormat="1" ht="15.75" x14ac:dyDescent="0.25">
      <c r="A42" s="6" t="s">
        <v>63</v>
      </c>
      <c r="B42" s="6" t="s">
        <v>64</v>
      </c>
      <c r="J42" s="7">
        <f>22610*10+23400*2</f>
        <v>272900</v>
      </c>
      <c r="K42" s="7">
        <f>67769.16+67769.16+67804.77+70180.5</f>
        <v>273523.59000000003</v>
      </c>
      <c r="M42" s="14"/>
      <c r="N42" s="14"/>
      <c r="O42" s="14"/>
    </row>
    <row r="43" spans="1:15" s="3" customFormat="1" ht="15.75" x14ac:dyDescent="0.25">
      <c r="B43" s="6" t="s">
        <v>65</v>
      </c>
      <c r="J43" s="7">
        <f>J4+J11+J20+J25+J36+J38+J40+J42</f>
        <v>1980720.94</v>
      </c>
      <c r="K43" s="7">
        <f>K4+K11+K20+K25+K36+K38+K40+K42</f>
        <v>2287095.87</v>
      </c>
      <c r="M43" s="5"/>
      <c r="N43" s="5"/>
      <c r="O43" s="5"/>
    </row>
    <row r="44" spans="1:15" s="3" customFormat="1" ht="15.75" x14ac:dyDescent="0.25">
      <c r="B44" s="6" t="s">
        <v>66</v>
      </c>
      <c r="J44" s="8">
        <f>ROUND(J43*7/100,2)</f>
        <v>138650.47</v>
      </c>
      <c r="K44" s="8">
        <f>ROUND(K43*7/100,2)</f>
        <v>160096.71</v>
      </c>
      <c r="M44" s="5"/>
      <c r="N44" s="5"/>
      <c r="O44" s="5"/>
    </row>
    <row r="45" spans="1:15" s="3" customFormat="1" ht="15.75" x14ac:dyDescent="0.25">
      <c r="B45" s="18" t="s">
        <v>67</v>
      </c>
      <c r="C45" s="18"/>
      <c r="D45" s="18"/>
      <c r="J45" s="7">
        <f>SUM(J43:J44)</f>
        <v>2119371.41</v>
      </c>
      <c r="K45" s="7">
        <f>SUM(K43:K44)</f>
        <v>2447192.58</v>
      </c>
      <c r="M45" s="5"/>
      <c r="N45" s="5"/>
      <c r="O45" s="5"/>
    </row>
    <row r="46" spans="1:15" s="3" customFormat="1" ht="15.75" x14ac:dyDescent="0.25">
      <c r="B46" s="15"/>
      <c r="C46" s="15"/>
      <c r="D46" s="15"/>
      <c r="J46" s="7"/>
      <c r="K46" s="7"/>
      <c r="M46" s="5"/>
      <c r="N46" s="5"/>
      <c r="O46" s="5"/>
    </row>
    <row r="47" spans="1:15" s="6" customFormat="1" ht="15.75" x14ac:dyDescent="0.25">
      <c r="A47" s="18" t="s">
        <v>68</v>
      </c>
      <c r="B47" s="18"/>
      <c r="C47" s="18"/>
      <c r="D47" s="18"/>
      <c r="J47" s="7"/>
      <c r="K47" s="7">
        <f>531296.95+531296.94+533809.35+522828.11</f>
        <v>2119231.3499999996</v>
      </c>
      <c r="M47" s="14"/>
      <c r="N47" s="14"/>
      <c r="O47" s="14"/>
    </row>
    <row r="48" spans="1:15" s="6" customFormat="1" ht="15.75" x14ac:dyDescent="0.25">
      <c r="A48" s="18" t="s">
        <v>69</v>
      </c>
      <c r="B48" s="18"/>
      <c r="C48" s="18"/>
      <c r="D48" s="18"/>
      <c r="E48" s="18"/>
      <c r="F48" s="18"/>
      <c r="J48" s="7"/>
      <c r="K48" s="7">
        <f>503342.56+506644.48+530603.58+519145.41</f>
        <v>2059736.03</v>
      </c>
      <c r="M48" s="14"/>
      <c r="N48" s="14"/>
      <c r="O48" s="14"/>
    </row>
    <row r="49" spans="2:15" s="3" customFormat="1" ht="15" x14ac:dyDescent="0.2">
      <c r="M49" s="5"/>
      <c r="N49" s="5"/>
      <c r="O49" s="5"/>
    </row>
    <row r="50" spans="2:15" s="3" customFormat="1" ht="15" x14ac:dyDescent="0.2">
      <c r="B50" s="3" t="s">
        <v>70</v>
      </c>
      <c r="J50" s="3" t="s">
        <v>71</v>
      </c>
      <c r="M50" s="5"/>
      <c r="N50" s="5"/>
      <c r="O50" s="5"/>
    </row>
    <row r="51" spans="2:15" s="3" customFormat="1" ht="15" x14ac:dyDescent="0.2">
      <c r="M51" s="5"/>
      <c r="N51" s="5"/>
      <c r="O51" s="5"/>
    </row>
    <row r="52" spans="2:15" s="3" customFormat="1" ht="15" x14ac:dyDescent="0.2">
      <c r="B52" s="3" t="s">
        <v>77</v>
      </c>
      <c r="I52" s="16"/>
      <c r="J52" s="16" t="s">
        <v>78</v>
      </c>
      <c r="M52" s="5"/>
      <c r="N52" s="5"/>
      <c r="O52" s="5"/>
    </row>
    <row r="53" spans="2:15" s="3" customFormat="1" ht="15" x14ac:dyDescent="0.2">
      <c r="M53" s="5"/>
      <c r="N53" s="5"/>
      <c r="O53" s="5"/>
    </row>
    <row r="54" spans="2:15" s="3" customFormat="1" ht="15" x14ac:dyDescent="0.2">
      <c r="M54" s="5"/>
      <c r="N54" s="5"/>
      <c r="O54" s="5"/>
    </row>
    <row r="55" spans="2:15" s="3" customFormat="1" ht="15" x14ac:dyDescent="0.2">
      <c r="M55" s="5"/>
      <c r="N55" s="5"/>
      <c r="O55" s="5"/>
    </row>
    <row r="56" spans="2:15" s="3" customFormat="1" ht="15" x14ac:dyDescent="0.2">
      <c r="M56" s="5"/>
      <c r="N56" s="5"/>
      <c r="O56" s="5"/>
    </row>
    <row r="57" spans="2:15" s="3" customFormat="1" ht="15" x14ac:dyDescent="0.2">
      <c r="M57" s="5"/>
      <c r="N57" s="5"/>
      <c r="O57" s="5"/>
    </row>
    <row r="58" spans="2:15" s="3" customFormat="1" ht="15" x14ac:dyDescent="0.2">
      <c r="M58" s="5"/>
      <c r="N58" s="5"/>
      <c r="O58" s="5"/>
    </row>
    <row r="59" spans="2:15" s="3" customFormat="1" ht="15" x14ac:dyDescent="0.2">
      <c r="M59" s="5"/>
      <c r="N59" s="5"/>
      <c r="O59" s="5"/>
    </row>
    <row r="60" spans="2:15" s="3" customFormat="1" ht="15" x14ac:dyDescent="0.2">
      <c r="M60" s="5"/>
      <c r="N60" s="5"/>
      <c r="O60" s="5"/>
    </row>
    <row r="61" spans="2:15" s="3" customFormat="1" ht="15" x14ac:dyDescent="0.2">
      <c r="M61" s="5"/>
      <c r="N61" s="5"/>
      <c r="O61" s="5"/>
    </row>
    <row r="62" spans="2:15" s="3" customFormat="1" ht="15" x14ac:dyDescent="0.2">
      <c r="M62" s="5"/>
      <c r="N62" s="5"/>
      <c r="O62" s="5"/>
    </row>
    <row r="63" spans="2:15" s="3" customFormat="1" ht="15" x14ac:dyDescent="0.2">
      <c r="M63" s="5"/>
      <c r="N63" s="5"/>
      <c r="O63" s="5"/>
    </row>
    <row r="64" spans="2:15" s="3" customFormat="1" ht="15" x14ac:dyDescent="0.2">
      <c r="M64" s="5"/>
      <c r="N64" s="5"/>
      <c r="O64" s="5"/>
    </row>
    <row r="65" spans="13:15" s="3" customFormat="1" ht="15" x14ac:dyDescent="0.2">
      <c r="M65" s="5"/>
      <c r="N65" s="5"/>
      <c r="O65" s="5"/>
    </row>
    <row r="66" spans="13:15" s="3" customFormat="1" ht="15" x14ac:dyDescent="0.2">
      <c r="M66" s="5"/>
      <c r="N66" s="5"/>
      <c r="O66" s="5"/>
    </row>
    <row r="67" spans="13:15" s="3" customFormat="1" ht="15" x14ac:dyDescent="0.2">
      <c r="M67" s="5"/>
      <c r="N67" s="5"/>
      <c r="O67" s="5"/>
    </row>
    <row r="68" spans="13:15" s="3" customFormat="1" ht="15" x14ac:dyDescent="0.2">
      <c r="M68" s="5"/>
      <c r="N68" s="5"/>
      <c r="O68" s="5"/>
    </row>
    <row r="69" spans="13:15" s="3" customFormat="1" ht="15" x14ac:dyDescent="0.2">
      <c r="M69" s="5"/>
      <c r="N69" s="5"/>
      <c r="O69" s="5"/>
    </row>
    <row r="70" spans="13:15" s="3" customFormat="1" ht="15" x14ac:dyDescent="0.2">
      <c r="M70" s="5"/>
      <c r="N70" s="5"/>
      <c r="O70" s="5"/>
    </row>
    <row r="71" spans="13:15" s="3" customFormat="1" ht="15" x14ac:dyDescent="0.2">
      <c r="M71" s="5"/>
      <c r="N71" s="5"/>
      <c r="O71" s="5"/>
    </row>
    <row r="72" spans="13:15" s="3" customFormat="1" ht="15" x14ac:dyDescent="0.2">
      <c r="M72" s="5"/>
      <c r="N72" s="5"/>
      <c r="O72" s="5"/>
    </row>
    <row r="73" spans="13:15" s="3" customFormat="1" ht="15" x14ac:dyDescent="0.2">
      <c r="M73" s="5"/>
      <c r="N73" s="5"/>
      <c r="O73" s="5"/>
    </row>
    <row r="74" spans="13:15" s="3" customFormat="1" ht="15" x14ac:dyDescent="0.2">
      <c r="M74" s="5"/>
      <c r="N74" s="5"/>
      <c r="O74" s="5"/>
    </row>
    <row r="75" spans="13:15" s="3" customFormat="1" ht="15" x14ac:dyDescent="0.2">
      <c r="M75" s="5"/>
      <c r="N75" s="5"/>
      <c r="O75" s="5"/>
    </row>
    <row r="76" spans="13:15" s="3" customFormat="1" ht="15" x14ac:dyDescent="0.2">
      <c r="M76" s="5"/>
      <c r="N76" s="5"/>
      <c r="O76" s="5"/>
    </row>
    <row r="77" spans="13:15" s="3" customFormat="1" ht="15" x14ac:dyDescent="0.2">
      <c r="M77" s="5"/>
      <c r="N77" s="5"/>
      <c r="O77" s="5"/>
    </row>
    <row r="78" spans="13:15" s="3" customFormat="1" ht="15" x14ac:dyDescent="0.2">
      <c r="M78" s="5"/>
      <c r="N78" s="5"/>
      <c r="O78" s="5"/>
    </row>
    <row r="79" spans="13:15" s="3" customFormat="1" ht="15" x14ac:dyDescent="0.2">
      <c r="M79" s="5"/>
      <c r="N79" s="5"/>
      <c r="O79" s="5"/>
    </row>
    <row r="80" spans="13:15" s="3" customFormat="1" ht="15" x14ac:dyDescent="0.2">
      <c r="M80" s="5"/>
      <c r="N80" s="5"/>
      <c r="O80" s="5"/>
    </row>
    <row r="81" spans="13:15" s="3" customFormat="1" ht="15" x14ac:dyDescent="0.2">
      <c r="M81" s="5"/>
      <c r="N81" s="5"/>
      <c r="O81" s="5"/>
    </row>
    <row r="82" spans="13:15" s="3" customFormat="1" ht="15" x14ac:dyDescent="0.2">
      <c r="M82" s="5"/>
      <c r="N82" s="5"/>
      <c r="O82" s="5"/>
    </row>
    <row r="83" spans="13:15" s="3" customFormat="1" ht="15" x14ac:dyDescent="0.2">
      <c r="M83" s="5"/>
      <c r="N83" s="5"/>
      <c r="O83" s="5"/>
    </row>
    <row r="84" spans="13:15" s="3" customFormat="1" ht="15" x14ac:dyDescent="0.2">
      <c r="M84" s="5"/>
      <c r="N84" s="5"/>
      <c r="O84" s="5"/>
    </row>
    <row r="85" spans="13:15" s="3" customFormat="1" ht="15" x14ac:dyDescent="0.2">
      <c r="M85" s="5"/>
      <c r="N85" s="5"/>
      <c r="O85" s="5"/>
    </row>
    <row r="86" spans="13:15" s="3" customFormat="1" ht="15" x14ac:dyDescent="0.2">
      <c r="M86" s="5"/>
      <c r="N86" s="5"/>
      <c r="O86" s="5"/>
    </row>
    <row r="87" spans="13:15" s="3" customFormat="1" ht="15" x14ac:dyDescent="0.2">
      <c r="M87" s="5"/>
      <c r="N87" s="5"/>
      <c r="O87" s="5"/>
    </row>
    <row r="88" spans="13:15" s="3" customFormat="1" ht="15" x14ac:dyDescent="0.2">
      <c r="M88" s="5"/>
      <c r="N88" s="5"/>
      <c r="O88" s="5"/>
    </row>
    <row r="89" spans="13:15" s="3" customFormat="1" ht="15" x14ac:dyDescent="0.2">
      <c r="M89" s="5"/>
      <c r="N89" s="5"/>
      <c r="O89" s="5"/>
    </row>
    <row r="90" spans="13:15" s="3" customFormat="1" ht="15" x14ac:dyDescent="0.2">
      <c r="M90" s="5"/>
      <c r="N90" s="5"/>
      <c r="O90" s="5"/>
    </row>
    <row r="91" spans="13:15" s="3" customFormat="1" ht="15" x14ac:dyDescent="0.2">
      <c r="M91" s="5"/>
      <c r="N91" s="5"/>
      <c r="O91" s="5"/>
    </row>
    <row r="92" spans="13:15" s="3" customFormat="1" ht="15" x14ac:dyDescent="0.2">
      <c r="M92" s="5"/>
      <c r="N92" s="5"/>
      <c r="O92" s="5"/>
    </row>
    <row r="93" spans="13:15" s="3" customFormat="1" ht="15" x14ac:dyDescent="0.2">
      <c r="M93" s="5"/>
      <c r="N93" s="5"/>
      <c r="O93" s="5"/>
    </row>
    <row r="94" spans="13:15" s="3" customFormat="1" ht="15" x14ac:dyDescent="0.2">
      <c r="M94" s="5"/>
      <c r="N94" s="5"/>
      <c r="O94" s="5"/>
    </row>
    <row r="95" spans="13:15" s="3" customFormat="1" ht="15" x14ac:dyDescent="0.2">
      <c r="M95" s="5"/>
      <c r="N95" s="5"/>
      <c r="O95" s="5"/>
    </row>
    <row r="96" spans="13:15" s="3" customFormat="1" ht="15" x14ac:dyDescent="0.2">
      <c r="M96" s="5"/>
      <c r="N96" s="5"/>
      <c r="O96" s="5"/>
    </row>
    <row r="97" spans="13:15" s="3" customFormat="1" ht="15" x14ac:dyDescent="0.2">
      <c r="M97" s="5"/>
      <c r="N97" s="5"/>
      <c r="O97" s="5"/>
    </row>
    <row r="98" spans="13:15" s="3" customFormat="1" ht="15" x14ac:dyDescent="0.2">
      <c r="M98" s="5"/>
      <c r="N98" s="5"/>
      <c r="O98" s="5"/>
    </row>
    <row r="99" spans="13:15" s="3" customFormat="1" ht="15" x14ac:dyDescent="0.2">
      <c r="M99" s="5"/>
      <c r="N99" s="5"/>
      <c r="O99" s="5"/>
    </row>
    <row r="100" spans="13:15" s="3" customFormat="1" ht="15" x14ac:dyDescent="0.2">
      <c r="M100" s="5"/>
      <c r="N100" s="5"/>
      <c r="O100" s="5"/>
    </row>
    <row r="101" spans="13:15" s="3" customFormat="1" ht="15" x14ac:dyDescent="0.2">
      <c r="M101" s="5"/>
      <c r="N101" s="5"/>
      <c r="O101" s="5"/>
    </row>
    <row r="102" spans="13:15" s="3" customFormat="1" ht="15" x14ac:dyDescent="0.2">
      <c r="M102" s="5"/>
      <c r="N102" s="5"/>
      <c r="O102" s="5"/>
    </row>
    <row r="103" spans="13:15" s="3" customFormat="1" ht="15" x14ac:dyDescent="0.2">
      <c r="M103" s="5"/>
      <c r="N103" s="5"/>
      <c r="O103" s="5"/>
    </row>
    <row r="104" spans="13:15" s="3" customFormat="1" ht="15" x14ac:dyDescent="0.2">
      <c r="M104" s="5"/>
      <c r="N104" s="5"/>
      <c r="O104" s="5"/>
    </row>
    <row r="105" spans="13:15" s="3" customFormat="1" ht="15" x14ac:dyDescent="0.2">
      <c r="M105" s="5"/>
      <c r="N105" s="5"/>
      <c r="O105" s="5"/>
    </row>
    <row r="106" spans="13:15" s="3" customFormat="1" ht="15" x14ac:dyDescent="0.2">
      <c r="M106" s="5"/>
      <c r="N106" s="5"/>
      <c r="O106" s="5"/>
    </row>
    <row r="107" spans="13:15" s="3" customFormat="1" ht="15" x14ac:dyDescent="0.2">
      <c r="M107" s="5"/>
      <c r="N107" s="5"/>
      <c r="O107" s="5"/>
    </row>
    <row r="108" spans="13:15" s="3" customFormat="1" ht="15" x14ac:dyDescent="0.2">
      <c r="M108" s="5"/>
      <c r="N108" s="5"/>
      <c r="O108" s="5"/>
    </row>
    <row r="109" spans="13:15" s="3" customFormat="1" ht="15" x14ac:dyDescent="0.2">
      <c r="M109" s="5"/>
      <c r="N109" s="5"/>
      <c r="O109" s="5"/>
    </row>
    <row r="110" spans="13:15" s="3" customFormat="1" ht="15" x14ac:dyDescent="0.2">
      <c r="M110" s="5"/>
      <c r="N110" s="5"/>
      <c r="O110" s="5"/>
    </row>
    <row r="111" spans="13:15" s="3" customFormat="1" ht="15" x14ac:dyDescent="0.2">
      <c r="M111" s="5"/>
      <c r="N111" s="5"/>
      <c r="O111" s="5"/>
    </row>
    <row r="112" spans="13:15" s="3" customFormat="1" ht="15" x14ac:dyDescent="0.2">
      <c r="M112" s="5"/>
      <c r="N112" s="5"/>
      <c r="O112" s="5"/>
    </row>
    <row r="113" spans="13:15" s="3" customFormat="1" ht="15" x14ac:dyDescent="0.2">
      <c r="M113" s="5"/>
      <c r="N113" s="5"/>
      <c r="O113" s="5"/>
    </row>
    <row r="114" spans="13:15" s="3" customFormat="1" ht="15" x14ac:dyDescent="0.2">
      <c r="M114" s="5"/>
      <c r="N114" s="5"/>
      <c r="O114" s="5"/>
    </row>
    <row r="115" spans="13:15" s="3" customFormat="1" ht="15" x14ac:dyDescent="0.2">
      <c r="M115" s="5"/>
      <c r="N115" s="5"/>
      <c r="O115" s="5"/>
    </row>
    <row r="116" spans="13:15" s="3" customFormat="1" ht="15" x14ac:dyDescent="0.2">
      <c r="M116" s="5"/>
      <c r="N116" s="5"/>
      <c r="O116" s="5"/>
    </row>
    <row r="117" spans="13:15" s="3" customFormat="1" ht="15" x14ac:dyDescent="0.2">
      <c r="M117" s="5"/>
      <c r="N117" s="5"/>
      <c r="O117" s="5"/>
    </row>
    <row r="118" spans="13:15" s="3" customFormat="1" ht="15" x14ac:dyDescent="0.2">
      <c r="M118" s="5"/>
      <c r="N118" s="5"/>
      <c r="O118" s="5"/>
    </row>
    <row r="119" spans="13:15" s="3" customFormat="1" ht="15" x14ac:dyDescent="0.2">
      <c r="M119" s="5"/>
      <c r="N119" s="5"/>
      <c r="O119" s="5"/>
    </row>
    <row r="120" spans="13:15" s="3" customFormat="1" ht="15" x14ac:dyDescent="0.2">
      <c r="M120" s="5"/>
      <c r="N120" s="5"/>
      <c r="O120" s="5"/>
    </row>
    <row r="121" spans="13:15" s="3" customFormat="1" ht="15" x14ac:dyDescent="0.2">
      <c r="M121" s="5"/>
      <c r="N121" s="5"/>
      <c r="O121" s="5"/>
    </row>
    <row r="122" spans="13:15" s="3" customFormat="1" ht="15" x14ac:dyDescent="0.2">
      <c r="M122" s="5"/>
      <c r="N122" s="5"/>
      <c r="O122" s="5"/>
    </row>
    <row r="123" spans="13:15" s="3" customFormat="1" ht="15" x14ac:dyDescent="0.2">
      <c r="M123" s="5"/>
      <c r="N123" s="5"/>
      <c r="O123" s="5"/>
    </row>
    <row r="124" spans="13:15" s="3" customFormat="1" ht="15" x14ac:dyDescent="0.2">
      <c r="M124" s="5"/>
      <c r="N124" s="5"/>
      <c r="O124" s="5"/>
    </row>
    <row r="125" spans="13:15" s="3" customFormat="1" ht="15" x14ac:dyDescent="0.2">
      <c r="M125" s="5"/>
      <c r="N125" s="5"/>
      <c r="O125" s="5"/>
    </row>
    <row r="126" spans="13:15" s="3" customFormat="1" ht="15" x14ac:dyDescent="0.2">
      <c r="M126" s="5"/>
      <c r="N126" s="5"/>
      <c r="O126" s="5"/>
    </row>
    <row r="127" spans="13:15" s="3" customFormat="1" ht="15" x14ac:dyDescent="0.2">
      <c r="M127" s="5"/>
      <c r="N127" s="5"/>
      <c r="O127" s="5"/>
    </row>
    <row r="128" spans="13:15" s="3" customFormat="1" ht="15" x14ac:dyDescent="0.2">
      <c r="M128" s="5"/>
      <c r="N128" s="5"/>
      <c r="O128" s="5"/>
    </row>
    <row r="129" spans="13:15" s="3" customFormat="1" ht="15" x14ac:dyDescent="0.2">
      <c r="M129" s="5"/>
      <c r="N129" s="5"/>
      <c r="O129" s="5"/>
    </row>
    <row r="130" spans="13:15" s="3" customFormat="1" ht="15" x14ac:dyDescent="0.2">
      <c r="M130" s="5"/>
      <c r="N130" s="5"/>
      <c r="O130" s="5"/>
    </row>
    <row r="131" spans="13:15" s="3" customFormat="1" ht="15" x14ac:dyDescent="0.2">
      <c r="M131" s="5"/>
      <c r="N131" s="5"/>
      <c r="O131" s="5"/>
    </row>
    <row r="132" spans="13:15" s="3" customFormat="1" ht="15" x14ac:dyDescent="0.2">
      <c r="M132" s="5"/>
      <c r="N132" s="5"/>
      <c r="O132" s="5"/>
    </row>
    <row r="133" spans="13:15" s="3" customFormat="1" ht="15" x14ac:dyDescent="0.2">
      <c r="M133" s="5"/>
      <c r="N133" s="5"/>
      <c r="O133" s="5"/>
    </row>
    <row r="134" spans="13:15" s="3" customFormat="1" ht="15" x14ac:dyDescent="0.2">
      <c r="M134" s="5"/>
      <c r="N134" s="5"/>
      <c r="O134" s="5"/>
    </row>
    <row r="135" spans="13:15" s="3" customFormat="1" ht="15" x14ac:dyDescent="0.2">
      <c r="M135" s="5"/>
      <c r="N135" s="5"/>
      <c r="O135" s="5"/>
    </row>
    <row r="136" spans="13:15" s="3" customFormat="1" ht="15" x14ac:dyDescent="0.2">
      <c r="M136" s="5"/>
      <c r="N136" s="5"/>
      <c r="O136" s="5"/>
    </row>
    <row r="137" spans="13:15" s="3" customFormat="1" ht="15" x14ac:dyDescent="0.2">
      <c r="M137" s="5"/>
      <c r="N137" s="5"/>
      <c r="O137" s="5"/>
    </row>
    <row r="138" spans="13:15" s="3" customFormat="1" ht="15" x14ac:dyDescent="0.2">
      <c r="M138" s="5"/>
      <c r="N138" s="5"/>
      <c r="O138" s="5"/>
    </row>
    <row r="139" spans="13:15" s="3" customFormat="1" ht="15" x14ac:dyDescent="0.2">
      <c r="M139" s="5"/>
      <c r="N139" s="5"/>
      <c r="O139" s="5"/>
    </row>
    <row r="140" spans="13:15" s="3" customFormat="1" ht="15" x14ac:dyDescent="0.2">
      <c r="M140" s="5"/>
      <c r="N140" s="5"/>
      <c r="O140" s="5"/>
    </row>
    <row r="141" spans="13:15" s="3" customFormat="1" ht="15" x14ac:dyDescent="0.2">
      <c r="M141" s="5"/>
      <c r="N141" s="5"/>
      <c r="O141" s="5"/>
    </row>
    <row r="142" spans="13:15" s="3" customFormat="1" ht="15" x14ac:dyDescent="0.2">
      <c r="M142" s="5"/>
      <c r="N142" s="5"/>
      <c r="O142" s="5"/>
    </row>
    <row r="143" spans="13:15" s="3" customFormat="1" ht="15" x14ac:dyDescent="0.2">
      <c r="M143" s="5"/>
      <c r="N143" s="5"/>
      <c r="O143" s="5"/>
    </row>
    <row r="144" spans="13:15" s="3" customFormat="1" ht="15" x14ac:dyDescent="0.2">
      <c r="M144" s="5"/>
      <c r="N144" s="5"/>
      <c r="O144" s="5"/>
    </row>
    <row r="145" spans="13:15" s="3" customFormat="1" ht="15" x14ac:dyDescent="0.2">
      <c r="M145" s="5"/>
      <c r="N145" s="5"/>
      <c r="O145" s="5"/>
    </row>
    <row r="146" spans="13:15" s="3" customFormat="1" ht="15" x14ac:dyDescent="0.2">
      <c r="M146" s="5"/>
      <c r="N146" s="5"/>
      <c r="O146" s="5"/>
    </row>
    <row r="147" spans="13:15" s="3" customFormat="1" ht="15" x14ac:dyDescent="0.2">
      <c r="M147" s="5"/>
      <c r="N147" s="5"/>
      <c r="O147" s="5"/>
    </row>
    <row r="148" spans="13:15" s="3" customFormat="1" ht="15" x14ac:dyDescent="0.2">
      <c r="M148" s="5"/>
      <c r="N148" s="5"/>
      <c r="O148" s="5"/>
    </row>
    <row r="149" spans="13:15" s="3" customFormat="1" ht="15" x14ac:dyDescent="0.2">
      <c r="M149" s="5"/>
      <c r="N149" s="5"/>
      <c r="O149" s="5"/>
    </row>
    <row r="150" spans="13:15" s="3" customFormat="1" ht="15" x14ac:dyDescent="0.2">
      <c r="M150" s="5"/>
      <c r="N150" s="5"/>
      <c r="O150" s="5"/>
    </row>
    <row r="151" spans="13:15" s="3" customFormat="1" ht="15" x14ac:dyDescent="0.2">
      <c r="M151" s="5"/>
      <c r="N151" s="5"/>
      <c r="O151" s="5"/>
    </row>
    <row r="152" spans="13:15" s="3" customFormat="1" ht="15" x14ac:dyDescent="0.2">
      <c r="M152" s="5"/>
      <c r="N152" s="5"/>
      <c r="O152" s="5"/>
    </row>
    <row r="153" spans="13:15" s="3" customFormat="1" ht="15" x14ac:dyDescent="0.2">
      <c r="M153" s="5"/>
      <c r="N153" s="5"/>
      <c r="O153" s="5"/>
    </row>
    <row r="154" spans="13:15" s="3" customFormat="1" ht="15" x14ac:dyDescent="0.2">
      <c r="M154" s="5"/>
      <c r="N154" s="5"/>
      <c r="O154" s="5"/>
    </row>
    <row r="155" spans="13:15" s="3" customFormat="1" ht="15" x14ac:dyDescent="0.2">
      <c r="M155" s="5"/>
      <c r="N155" s="5"/>
      <c r="O155" s="5"/>
    </row>
    <row r="156" spans="13:15" s="3" customFormat="1" ht="15" x14ac:dyDescent="0.2">
      <c r="M156" s="5"/>
      <c r="N156" s="5"/>
      <c r="O156" s="5"/>
    </row>
    <row r="157" spans="13:15" s="3" customFormat="1" ht="15" x14ac:dyDescent="0.2">
      <c r="M157" s="5"/>
      <c r="N157" s="5"/>
      <c r="O157" s="5"/>
    </row>
    <row r="158" spans="13:15" s="3" customFormat="1" ht="15" x14ac:dyDescent="0.2">
      <c r="M158" s="5"/>
      <c r="N158" s="5"/>
      <c r="O158" s="5"/>
    </row>
    <row r="159" spans="13:15" s="3" customFormat="1" ht="15" x14ac:dyDescent="0.2">
      <c r="M159" s="5"/>
      <c r="N159" s="5"/>
      <c r="O159" s="5"/>
    </row>
    <row r="160" spans="13:15" s="3" customFormat="1" ht="15" x14ac:dyDescent="0.2">
      <c r="M160" s="5"/>
      <c r="N160" s="5"/>
      <c r="O160" s="5"/>
    </row>
    <row r="161" spans="13:15" s="3" customFormat="1" ht="15" x14ac:dyDescent="0.2">
      <c r="M161" s="5"/>
      <c r="N161" s="5"/>
      <c r="O161" s="5"/>
    </row>
    <row r="162" spans="13:15" s="3" customFormat="1" ht="15" x14ac:dyDescent="0.2">
      <c r="M162" s="5"/>
      <c r="N162" s="5"/>
      <c r="O162" s="5"/>
    </row>
    <row r="163" spans="13:15" s="3" customFormat="1" ht="15" x14ac:dyDescent="0.2">
      <c r="M163" s="5"/>
      <c r="N163" s="5"/>
      <c r="O163" s="5"/>
    </row>
    <row r="164" spans="13:15" s="3" customFormat="1" ht="15" x14ac:dyDescent="0.2">
      <c r="M164" s="5"/>
      <c r="N164" s="5"/>
      <c r="O164" s="5"/>
    </row>
    <row r="165" spans="13:15" s="3" customFormat="1" ht="15" x14ac:dyDescent="0.2">
      <c r="M165" s="5"/>
      <c r="N165" s="5"/>
      <c r="O165" s="5"/>
    </row>
    <row r="166" spans="13:15" s="3" customFormat="1" ht="15" x14ac:dyDescent="0.2">
      <c r="M166" s="5"/>
      <c r="N166" s="5"/>
      <c r="O166" s="5"/>
    </row>
    <row r="167" spans="13:15" s="3" customFormat="1" ht="15" x14ac:dyDescent="0.2">
      <c r="M167" s="5"/>
      <c r="N167" s="5"/>
      <c r="O167" s="5"/>
    </row>
    <row r="168" spans="13:15" s="3" customFormat="1" ht="15" x14ac:dyDescent="0.2">
      <c r="M168" s="5"/>
      <c r="N168" s="5"/>
      <c r="O168" s="5"/>
    </row>
    <row r="169" spans="13:15" s="3" customFormat="1" ht="15" x14ac:dyDescent="0.2">
      <c r="M169" s="5"/>
      <c r="N169" s="5"/>
      <c r="O169" s="5"/>
    </row>
    <row r="170" spans="13:15" s="3" customFormat="1" ht="15" x14ac:dyDescent="0.2">
      <c r="M170" s="5"/>
      <c r="N170" s="5"/>
      <c r="O170" s="5"/>
    </row>
    <row r="171" spans="13:15" s="3" customFormat="1" ht="15" x14ac:dyDescent="0.2">
      <c r="M171" s="5"/>
      <c r="N171" s="5"/>
      <c r="O171" s="5"/>
    </row>
    <row r="172" spans="13:15" s="3" customFormat="1" ht="15" x14ac:dyDescent="0.2">
      <c r="M172" s="5"/>
      <c r="N172" s="5"/>
      <c r="O172" s="5"/>
    </row>
    <row r="173" spans="13:15" s="3" customFormat="1" ht="15" x14ac:dyDescent="0.2">
      <c r="M173" s="5"/>
      <c r="N173" s="5"/>
      <c r="O173" s="5"/>
    </row>
    <row r="174" spans="13:15" s="3" customFormat="1" ht="15" x14ac:dyDescent="0.2">
      <c r="M174" s="5"/>
      <c r="N174" s="5"/>
      <c r="O174" s="5"/>
    </row>
    <row r="175" spans="13:15" s="3" customFormat="1" ht="15" x14ac:dyDescent="0.2">
      <c r="M175" s="5"/>
      <c r="N175" s="5"/>
      <c r="O175" s="5"/>
    </row>
  </sheetData>
  <mergeCells count="23">
    <mergeCell ref="C7:E7"/>
    <mergeCell ref="A1:K1"/>
    <mergeCell ref="A2:K2"/>
    <mergeCell ref="B4:H4"/>
    <mergeCell ref="C5:F5"/>
    <mergeCell ref="C6:F6"/>
    <mergeCell ref="C28:H28"/>
    <mergeCell ref="B11:F11"/>
    <mergeCell ref="C12:D12"/>
    <mergeCell ref="C13:E13"/>
    <mergeCell ref="C14:F14"/>
    <mergeCell ref="C15:H15"/>
    <mergeCell ref="C16:D16"/>
    <mergeCell ref="B20:H20"/>
    <mergeCell ref="C21:G21"/>
    <mergeCell ref="C22:H22"/>
    <mergeCell ref="C26:D26"/>
    <mergeCell ref="C27:G27"/>
    <mergeCell ref="B36:E36"/>
    <mergeCell ref="B38:F38"/>
    <mergeCell ref="B45:D45"/>
    <mergeCell ref="A47:D47"/>
    <mergeCell ref="A48:F48"/>
  </mergeCells>
  <pageMargins left="0.59055118110236227" right="0.19685039370078741" top="0.19685039370078741" bottom="0.19685039370078741" header="0.51181102362204722" footer="0.51181102362204722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50-2 кв. 1-160 им. Петрова</vt:lpstr>
      <vt:lpstr>50-2 кв. 161-320 Учитель - 5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2020-02-05T10:31:29Z</dcterms:created>
  <dcterms:modified xsi:type="dcterms:W3CDTF">2020-02-05T10:39:30Z</dcterms:modified>
</cp:coreProperties>
</file>