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Отчеты о выпол. работ 2019\"/>
    </mc:Choice>
  </mc:AlternateContent>
  <bookViews>
    <workbookView xWindow="0" yWindow="0" windowWidth="19200" windowHeight="11595"/>
  </bookViews>
  <sheets>
    <sheet name="5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7" i="1"/>
  <c r="K42" i="1"/>
  <c r="J42" i="1"/>
  <c r="K40" i="1"/>
  <c r="J40" i="1"/>
  <c r="K38" i="1"/>
  <c r="J38" i="1"/>
  <c r="K36" i="1"/>
  <c r="J36" i="1"/>
  <c r="K34" i="1"/>
  <c r="J34" i="1"/>
  <c r="K32" i="1"/>
  <c r="K29" i="1"/>
  <c r="K28" i="1"/>
  <c r="K27" i="1"/>
  <c r="K26" i="1"/>
  <c r="K25" i="1"/>
  <c r="J25" i="1"/>
  <c r="J24" i="1"/>
  <c r="K23" i="1"/>
  <c r="J23" i="1"/>
  <c r="K22" i="1"/>
  <c r="J22" i="1"/>
  <c r="K21" i="1"/>
  <c r="J21" i="1"/>
  <c r="K20" i="1"/>
  <c r="J20" i="1"/>
  <c r="K19" i="1"/>
  <c r="J19" i="1"/>
  <c r="J11" i="1" s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K9" i="1"/>
  <c r="J9" i="1"/>
  <c r="K8" i="1"/>
  <c r="J8" i="1"/>
  <c r="K7" i="1"/>
  <c r="J7" i="1"/>
  <c r="K5" i="1"/>
  <c r="K6" i="1" s="1"/>
  <c r="K4" i="1" s="1"/>
  <c r="K43" i="1" s="1"/>
  <c r="J5" i="1"/>
  <c r="J6" i="1" s="1"/>
  <c r="J4" i="1" s="1"/>
  <c r="J43" i="1" s="1"/>
  <c r="K44" i="1" l="1"/>
  <c r="K45" i="1" s="1"/>
  <c r="K50" i="1" s="1"/>
  <c r="J44" i="1"/>
  <c r="J45" i="1" s="1"/>
</calcChain>
</file>

<file path=xl/sharedStrings.xml><?xml version="1.0" encoding="utf-8"?>
<sst xmlns="http://schemas.openxmlformats.org/spreadsheetml/2006/main" count="81" uniqueCount="81">
  <si>
    <t xml:space="preserve">ОТЧЁТ по расходам на обслуживание </t>
  </si>
  <si>
    <t xml:space="preserve"> д.54 по ул. Новоселов за январь-декабрь 2019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</si>
  <si>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</si>
  <si>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</si>
  <si>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</si>
  <si>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</si>
  <si>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</si>
  <si>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уборщиц, рабочих м/пр</t>
  </si>
  <si>
    <t>1.2.</t>
  </si>
  <si>
    <t>Начисление на зарплату 30.2%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</si>
  <si>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</si>
  <si>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</si>
  <si>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</si>
  <si>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</si>
  <si>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</si>
  <si>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</si>
  <si>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</si>
  <si>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</si>
  <si>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</si>
  <si>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</si>
  <si>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</si>
  <si>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</si>
  <si>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</si>
  <si>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</si>
  <si>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</si>
  <si>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</si>
  <si>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</si>
  <si>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</si>
  <si>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</si>
  <si>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</si>
  <si>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</si>
  <si>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</si>
  <si>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2.8.</t>
  </si>
  <si>
    <t>Испытание и измерение электрооб.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</si>
  <si>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</si>
  <si>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</si>
  <si>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</si>
  <si>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</si>
  <si>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</si>
  <si>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</si>
  <si>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</si>
  <si>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</si>
  <si>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3.4.</t>
  </si>
  <si>
    <t>Оценка соответствия лифтов, отраб. срок служ.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</si>
  <si>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</si>
  <si>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</si>
  <si>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</si>
  <si>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</si>
  <si>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</si>
  <si>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</si>
  <si>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</si>
  <si>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</si>
  <si>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</si>
  <si>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</si>
  <si>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</si>
  <si>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</si>
  <si>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</si>
  <si>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</si>
  <si>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</si>
  <si>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</si>
  <si>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</si>
  <si>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30,2%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</si>
  <si>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</si>
  <si>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</si>
  <si>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</si>
  <si>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</si>
  <si>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</si>
  <si>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</si>
  <si>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</si>
  <si>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</si>
  <si>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</si>
  <si>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</si>
  <si>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</si>
  <si>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</si>
  <si>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</si>
  <si>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</si>
  <si>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</si>
  <si>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</si>
  <si>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</si>
  <si>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</si>
  <si>
    <t>Гараскина Т. 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</si>
</sst>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165" fontId="2" fillId="0" borderId="0" xfId="0" applyNumberFormat="1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/>
    <xf numFmtId="4" fontId="3" fillId="0" borderId="0" xfId="0" applyNumberFormat="1" applyFont="1"/>
    <xf numFmtId="164" fontId="2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7"/>
  <sheetViews>
    <sheetView tabSelected="1" topLeftCell="A13" workbookViewId="0">
      <selection activeCell="K39" sqref="K39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3" customWidth="1"/>
    <col min="13" max="13" width="17.85546875" customWidth="1"/>
    <col min="14" max="14" width="16" customWidth="1"/>
  </cols>
  <sheetData>
    <row r="1" spans="1:13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3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3" s="3" customFormat="1" ht="15.75" x14ac:dyDescent="0.25">
      <c r="J3" s="4" t="s">
        <v>2</v>
      </c>
      <c r="K3" s="4" t="s">
        <v>3</v>
      </c>
    </row>
    <row r="4" spans="1:13" s="3" customFormat="1" ht="15.75" x14ac:dyDescent="0.25">
      <c r="A4" s="5" t="s">
        <v>4</v>
      </c>
      <c r="B4" s="6" t="s">
        <v>5</v>
      </c>
      <c r="C4" s="6"/>
      <c r="D4" s="6"/>
      <c r="E4" s="6"/>
      <c r="F4" s="6"/>
      <c r="G4" s="6"/>
      <c r="H4" s="6"/>
      <c r="J4" s="7">
        <f>SUM(J5:J9)</f>
        <v>678103.73</v>
      </c>
      <c r="K4" s="7">
        <f>SUM(K5:K9)</f>
        <v>693147.92000000016</v>
      </c>
    </row>
    <row r="5" spans="1:13" s="3" customFormat="1" ht="15" x14ac:dyDescent="0.2">
      <c r="B5" s="3" t="s">
        <v>6</v>
      </c>
      <c r="C5" s="8" t="s">
        <v>7</v>
      </c>
      <c r="D5" s="8"/>
      <c r="E5" s="8"/>
      <c r="F5" s="8"/>
      <c r="J5" s="9">
        <f>38022*12</f>
        <v>456264</v>
      </c>
      <c r="K5" s="9">
        <f>113176.27+113656.74+115721.95+107659.54</f>
        <v>450214.5</v>
      </c>
    </row>
    <row r="6" spans="1:13" s="3" customFormat="1" ht="15" x14ac:dyDescent="0.2">
      <c r="B6" s="3" t="s">
        <v>8</v>
      </c>
      <c r="C6" s="10" t="s">
        <v>9</v>
      </c>
      <c r="D6" s="10"/>
      <c r="E6" s="10"/>
      <c r="F6" s="10"/>
      <c r="J6" s="11">
        <f>ROUND(J5*30.2/100,2)</f>
        <v>137791.73000000001</v>
      </c>
      <c r="K6" s="11">
        <f>ROUND(K5*30.2/100,2)</f>
        <v>135964.78</v>
      </c>
      <c r="M6" s="12"/>
    </row>
    <row r="7" spans="1:13" s="3" customFormat="1" ht="15" x14ac:dyDescent="0.2">
      <c r="B7" s="3" t="s">
        <v>10</v>
      </c>
      <c r="C7" s="10" t="s">
        <v>11</v>
      </c>
      <c r="D7" s="10"/>
      <c r="E7" s="10"/>
      <c r="J7" s="9">
        <f>1229*10+1845*2</f>
        <v>15980</v>
      </c>
      <c r="K7" s="9">
        <f>16193.87+1805.8+8294.09+10473.05</f>
        <v>36766.81</v>
      </c>
    </row>
    <row r="8" spans="1:13" s="3" customFormat="1" ht="15" x14ac:dyDescent="0.2">
      <c r="B8" s="3" t="s">
        <v>12</v>
      </c>
      <c r="C8" s="3" t="s">
        <v>13</v>
      </c>
      <c r="J8" s="9">
        <f>5219*10</f>
        <v>52190</v>
      </c>
      <c r="K8" s="9">
        <f>18550.41+11406.65+14419.69+4329.02</f>
        <v>48705.770000000004</v>
      </c>
    </row>
    <row r="9" spans="1:13" s="3" customFormat="1" ht="15" x14ac:dyDescent="0.2">
      <c r="B9" s="3" t="s">
        <v>14</v>
      </c>
      <c r="C9" s="3" t="s">
        <v>15</v>
      </c>
      <c r="J9" s="9">
        <f>1145*10+2214*2</f>
        <v>15878</v>
      </c>
      <c r="K9" s="9">
        <f>11577.19+2043.25+277.52+7598.1</f>
        <v>21496.06</v>
      </c>
    </row>
    <row r="10" spans="1:13" s="3" customFormat="1" ht="15" x14ac:dyDescent="0.2">
      <c r="J10" s="9"/>
      <c r="K10" s="9"/>
    </row>
    <row r="11" spans="1:13" s="3" customFormat="1" ht="15.75" x14ac:dyDescent="0.25">
      <c r="A11" s="5" t="s">
        <v>16</v>
      </c>
      <c r="B11" s="6" t="s">
        <v>17</v>
      </c>
      <c r="C11" s="6"/>
      <c r="D11" s="6"/>
      <c r="E11" s="6"/>
      <c r="F11" s="6"/>
      <c r="J11" s="7">
        <f>SUM(J12:J19)</f>
        <v>483794</v>
      </c>
      <c r="K11" s="7">
        <f>SUM(K12:K19)</f>
        <v>504694.22</v>
      </c>
    </row>
    <row r="12" spans="1:13" s="3" customFormat="1" ht="15" x14ac:dyDescent="0.2">
      <c r="B12" s="13" t="s">
        <v>18</v>
      </c>
      <c r="C12" s="10" t="s">
        <v>19</v>
      </c>
      <c r="D12" s="10"/>
      <c r="E12" s="13"/>
      <c r="F12" s="13"/>
      <c r="J12" s="9">
        <f>14608*10</f>
        <v>146080</v>
      </c>
      <c r="K12" s="9">
        <f>53095.83+34530.14+36987.4+13469.6</f>
        <v>138082.97</v>
      </c>
    </row>
    <row r="13" spans="1:13" s="3" customFormat="1" ht="15" x14ac:dyDescent="0.2">
      <c r="B13" s="3" t="s">
        <v>20</v>
      </c>
      <c r="C13" s="10" t="s">
        <v>21</v>
      </c>
      <c r="D13" s="10"/>
      <c r="E13" s="10"/>
      <c r="J13" s="9">
        <f>15354*10</f>
        <v>153540</v>
      </c>
      <c r="K13" s="9">
        <f>43648.24+52978.28+58471.95+21582.05</f>
        <v>176680.51999999996</v>
      </c>
    </row>
    <row r="14" spans="1:13" s="3" customFormat="1" ht="15" x14ac:dyDescent="0.2">
      <c r="B14" s="3" t="s">
        <v>22</v>
      </c>
      <c r="C14" s="10" t="s">
        <v>23</v>
      </c>
      <c r="D14" s="10"/>
      <c r="E14" s="10"/>
      <c r="F14" s="10"/>
      <c r="J14" s="9">
        <f>691*10+725*2</f>
        <v>8360</v>
      </c>
      <c r="K14" s="9">
        <f>2107.23+2107.23+2107.23+2107.23</f>
        <v>8428.92</v>
      </c>
    </row>
    <row r="15" spans="1:13" s="3" customFormat="1" ht="15" x14ac:dyDescent="0.2">
      <c r="B15" s="3" t="s">
        <v>24</v>
      </c>
      <c r="C15" s="10" t="s">
        <v>25</v>
      </c>
      <c r="D15" s="10"/>
      <c r="E15" s="10"/>
      <c r="F15" s="10"/>
      <c r="G15" s="10"/>
      <c r="H15" s="10"/>
      <c r="J15" s="9">
        <f>6733*10+8024*2</f>
        <v>83378</v>
      </c>
      <c r="K15" s="9">
        <f>23441.07+25174.62+24639.62+21126.5</f>
        <v>94381.81</v>
      </c>
    </row>
    <row r="16" spans="1:13" s="3" customFormat="1" ht="15" x14ac:dyDescent="0.2">
      <c r="B16" s="3" t="s">
        <v>26</v>
      </c>
      <c r="C16" s="10" t="s">
        <v>27</v>
      </c>
      <c r="D16" s="10"/>
      <c r="E16" s="10"/>
      <c r="F16" s="10"/>
      <c r="J16" s="9">
        <f>7155*10</f>
        <v>71550</v>
      </c>
      <c r="K16" s="9">
        <f>0+85860+0</f>
        <v>85860</v>
      </c>
    </row>
    <row r="17" spans="1:15" s="3" customFormat="1" ht="15" x14ac:dyDescent="0.2">
      <c r="B17" s="3" t="s">
        <v>28</v>
      </c>
      <c r="C17" s="13" t="s">
        <v>29</v>
      </c>
      <c r="D17" s="13"/>
      <c r="E17" s="13"/>
      <c r="F17" s="13"/>
      <c r="J17" s="9">
        <f>508*12</f>
        <v>6096</v>
      </c>
      <c r="K17" s="9">
        <f>0</f>
        <v>0</v>
      </c>
    </row>
    <row r="18" spans="1:15" s="3" customFormat="1" ht="15" x14ac:dyDescent="0.2">
      <c r="B18" s="3" t="s">
        <v>30</v>
      </c>
      <c r="C18" s="13" t="s">
        <v>31</v>
      </c>
      <c r="D18" s="13"/>
      <c r="E18" s="13"/>
      <c r="F18" s="13"/>
      <c r="J18" s="9">
        <f>7290*2</f>
        <v>14580</v>
      </c>
      <c r="K18" s="9"/>
    </row>
    <row r="19" spans="1:15" s="3" customFormat="1" ht="15" x14ac:dyDescent="0.2">
      <c r="B19" s="3" t="s">
        <v>32</v>
      </c>
      <c r="C19" s="13" t="s">
        <v>33</v>
      </c>
      <c r="D19" s="13"/>
      <c r="E19" s="13"/>
      <c r="F19" s="13"/>
      <c r="J19" s="9">
        <f>105*2</f>
        <v>210</v>
      </c>
      <c r="K19" s="9">
        <f>140*9</f>
        <v>1260</v>
      </c>
    </row>
    <row r="20" spans="1:15" s="3" customFormat="1" ht="15.75" x14ac:dyDescent="0.25">
      <c r="A20" s="5" t="s">
        <v>34</v>
      </c>
      <c r="B20" s="6" t="s">
        <v>35</v>
      </c>
      <c r="C20" s="6"/>
      <c r="D20" s="6"/>
      <c r="E20" s="6"/>
      <c r="F20" s="6"/>
      <c r="G20" s="6"/>
      <c r="H20" s="6"/>
      <c r="J20" s="7">
        <f>SUM(J21:J24)</f>
        <v>625210</v>
      </c>
      <c r="K20" s="7">
        <f>SUM(K21:K24)</f>
        <v>617036.4</v>
      </c>
    </row>
    <row r="21" spans="1:15" s="3" customFormat="1" ht="15" x14ac:dyDescent="0.2">
      <c r="B21" s="13" t="s">
        <v>36</v>
      </c>
      <c r="C21" s="10" t="s">
        <v>37</v>
      </c>
      <c r="D21" s="10"/>
      <c r="E21" s="10"/>
      <c r="F21" s="10"/>
      <c r="G21" s="10"/>
      <c r="J21" s="9">
        <f>43079*12</f>
        <v>516948</v>
      </c>
      <c r="K21" s="9">
        <f>129236.85+129236.85+129236.85+129236.85</f>
        <v>516947.4</v>
      </c>
    </row>
    <row r="22" spans="1:15" s="3" customFormat="1" ht="15" x14ac:dyDescent="0.2">
      <c r="B22" s="13" t="s">
        <v>38</v>
      </c>
      <c r="C22" s="10" t="s">
        <v>39</v>
      </c>
      <c r="D22" s="10"/>
      <c r="E22" s="10"/>
      <c r="F22" s="10"/>
      <c r="G22" s="10"/>
      <c r="H22" s="8"/>
      <c r="J22" s="9">
        <f>3203*12</f>
        <v>38436</v>
      </c>
      <c r="K22" s="9">
        <f>0+0+25626+12813</f>
        <v>38439</v>
      </c>
    </row>
    <row r="23" spans="1:15" s="3" customFormat="1" ht="15" x14ac:dyDescent="0.2">
      <c r="B23" s="3" t="s">
        <v>40</v>
      </c>
      <c r="C23" s="3" t="s">
        <v>41</v>
      </c>
      <c r="J23" s="9">
        <f>375*12</f>
        <v>4500</v>
      </c>
      <c r="K23" s="9">
        <f>150*9</f>
        <v>1350</v>
      </c>
    </row>
    <row r="24" spans="1:15" s="3" customFormat="1" ht="15" x14ac:dyDescent="0.2">
      <c r="B24" s="3" t="s">
        <v>42</v>
      </c>
      <c r="C24" s="3" t="s">
        <v>43</v>
      </c>
      <c r="J24" s="9">
        <f>5025*10+7538*2</f>
        <v>65326</v>
      </c>
      <c r="K24" s="9">
        <v>60300</v>
      </c>
      <c r="M24" s="14"/>
      <c r="N24" s="14"/>
      <c r="O24" s="14"/>
    </row>
    <row r="25" spans="1:15" s="3" customFormat="1" ht="15.75" x14ac:dyDescent="0.25">
      <c r="A25" s="5" t="s">
        <v>44</v>
      </c>
      <c r="B25" s="15" t="s">
        <v>45</v>
      </c>
      <c r="C25" s="15"/>
      <c r="D25" s="15"/>
      <c r="J25" s="7">
        <f>71740*10+81740*2</f>
        <v>880880</v>
      </c>
      <c r="K25" s="7">
        <f>SUM(K26:K30)</f>
        <v>795501.75</v>
      </c>
    </row>
    <row r="26" spans="1:15" s="3" customFormat="1" ht="15" x14ac:dyDescent="0.2">
      <c r="B26" s="3" t="s">
        <v>46</v>
      </c>
      <c r="C26" s="8" t="s">
        <v>47</v>
      </c>
      <c r="D26" s="8"/>
      <c r="J26" s="9"/>
      <c r="K26" s="9">
        <f>81180.98+10852.3+324081.31+116921.54</f>
        <v>533036.13</v>
      </c>
    </row>
    <row r="27" spans="1:15" s="3" customFormat="1" ht="15" x14ac:dyDescent="0.2">
      <c r="B27" s="3" t="s">
        <v>48</v>
      </c>
      <c r="C27" s="10" t="s">
        <v>49</v>
      </c>
      <c r="D27" s="10"/>
      <c r="E27" s="10"/>
      <c r="F27" s="10"/>
      <c r="G27" s="10"/>
      <c r="J27" s="9"/>
      <c r="K27" s="9">
        <f>47201.08+40007.73+45409.53+44567.81</f>
        <v>177186.15</v>
      </c>
    </row>
    <row r="28" spans="1:15" s="3" customFormat="1" ht="15" x14ac:dyDescent="0.2">
      <c r="B28" s="3" t="s">
        <v>50</v>
      </c>
      <c r="C28" s="10" t="s">
        <v>51</v>
      </c>
      <c r="D28" s="10"/>
      <c r="E28" s="10"/>
      <c r="F28" s="10"/>
      <c r="G28" s="8"/>
      <c r="H28" s="8"/>
      <c r="J28" s="9"/>
      <c r="K28" s="9">
        <f>14588.9+14802.9+14440.72+25766.95</f>
        <v>69599.47</v>
      </c>
    </row>
    <row r="29" spans="1:15" s="3" customFormat="1" ht="15" x14ac:dyDescent="0.2">
      <c r="B29" s="3" t="s">
        <v>52</v>
      </c>
      <c r="C29" s="13" t="s">
        <v>53</v>
      </c>
      <c r="D29" s="13"/>
      <c r="E29" s="13"/>
      <c r="F29" s="13"/>
      <c r="G29" s="8"/>
      <c r="H29" s="8"/>
      <c r="J29" s="9"/>
      <c r="K29" s="9">
        <f>200*78.4</f>
        <v>15680.000000000002</v>
      </c>
      <c r="M29" s="14"/>
      <c r="N29" s="14"/>
      <c r="O29" s="14"/>
    </row>
    <row r="30" spans="1:15" s="3" customFormat="1" ht="15" x14ac:dyDescent="0.2">
      <c r="B30" s="3" t="s">
        <v>54</v>
      </c>
      <c r="C30" s="13"/>
      <c r="D30" s="13"/>
      <c r="E30" s="13"/>
      <c r="F30" s="13"/>
      <c r="G30" s="8"/>
      <c r="H30" s="8"/>
      <c r="J30" s="9"/>
      <c r="K30" s="9"/>
    </row>
    <row r="31" spans="1:15" s="3" customFormat="1" ht="15" x14ac:dyDescent="0.2">
      <c r="B31" s="3" t="s">
        <v>55</v>
      </c>
      <c r="C31" s="13"/>
      <c r="D31" s="13"/>
      <c r="E31" s="13"/>
      <c r="F31" s="13"/>
      <c r="G31" s="8"/>
      <c r="H31" s="8"/>
      <c r="J31" s="9"/>
      <c r="K31" s="9"/>
    </row>
    <row r="32" spans="1:15" s="3" customFormat="1" ht="15.75" x14ac:dyDescent="0.25">
      <c r="A32" s="5" t="s">
        <v>56</v>
      </c>
      <c r="B32" s="15" t="s">
        <v>57</v>
      </c>
      <c r="C32" s="15"/>
      <c r="D32" s="15"/>
      <c r="J32" s="7">
        <v>0</v>
      </c>
      <c r="K32" s="7">
        <f>K33+K34</f>
        <v>0</v>
      </c>
    </row>
    <row r="33" spans="1:15" s="3" customFormat="1" ht="15.75" x14ac:dyDescent="0.25">
      <c r="A33" s="5"/>
      <c r="B33" s="8" t="s">
        <v>58</v>
      </c>
      <c r="C33" s="8" t="s">
        <v>59</v>
      </c>
      <c r="D33" s="8"/>
      <c r="J33" s="7">
        <v>0</v>
      </c>
      <c r="K33" s="9"/>
    </row>
    <row r="34" spans="1:15" s="3" customFormat="1" ht="15.75" x14ac:dyDescent="0.25">
      <c r="A34" s="5"/>
      <c r="B34" s="8" t="s">
        <v>60</v>
      </c>
      <c r="C34" s="8" t="s">
        <v>61</v>
      </c>
      <c r="D34" s="8"/>
      <c r="J34" s="9">
        <f>J33*0.302</f>
        <v>0</v>
      </c>
      <c r="K34" s="9">
        <f>K33*0.302</f>
        <v>0</v>
      </c>
    </row>
    <row r="35" spans="1:15" s="3" customFormat="1" ht="15.75" x14ac:dyDescent="0.25">
      <c r="A35" s="5"/>
      <c r="B35" s="15"/>
      <c r="C35" s="15"/>
      <c r="D35" s="15"/>
      <c r="J35" s="7"/>
      <c r="K35" s="7"/>
    </row>
    <row r="36" spans="1:15" s="3" customFormat="1" ht="15.75" x14ac:dyDescent="0.25">
      <c r="A36" s="5" t="s">
        <v>62</v>
      </c>
      <c r="B36" s="6" t="s">
        <v>63</v>
      </c>
      <c r="C36" s="6"/>
      <c r="D36" s="6"/>
      <c r="E36" s="6"/>
      <c r="J36" s="7">
        <f>32040*12</f>
        <v>384480</v>
      </c>
      <c r="K36" s="7">
        <f>112296.3+91357.37+102634.43+32833.09+65841.59</f>
        <v>404962.77999999991</v>
      </c>
    </row>
    <row r="37" spans="1:15" s="3" customFormat="1" ht="15" x14ac:dyDescent="0.2">
      <c r="J37" s="9"/>
      <c r="K37" s="9"/>
    </row>
    <row r="38" spans="1:15" s="3" customFormat="1" ht="15.75" x14ac:dyDescent="0.25">
      <c r="A38" s="5" t="s">
        <v>64</v>
      </c>
      <c r="B38" s="6" t="s">
        <v>65</v>
      </c>
      <c r="C38" s="6"/>
      <c r="D38" s="6"/>
      <c r="E38" s="6"/>
      <c r="F38" s="6"/>
      <c r="J38" s="7">
        <f>60440*10+64240*2</f>
        <v>732880</v>
      </c>
      <c r="K38" s="7">
        <f>198107.56+203701.32+184685.97+64011.6+118152.38</f>
        <v>768658.83</v>
      </c>
    </row>
    <row r="39" spans="1:15" s="3" customFormat="1" ht="15" x14ac:dyDescent="0.2">
      <c r="J39" s="9"/>
      <c r="K39" s="9"/>
    </row>
    <row r="40" spans="1:15" s="3" customFormat="1" ht="15.75" x14ac:dyDescent="0.25">
      <c r="A40" s="5" t="s">
        <v>66</v>
      </c>
      <c r="B40" s="5" t="s">
        <v>67</v>
      </c>
      <c r="J40" s="7">
        <f>5620*12</f>
        <v>67440</v>
      </c>
      <c r="K40" s="7">
        <f>58906.74+1038.89+29.52+0</f>
        <v>59975.149999999994</v>
      </c>
    </row>
    <row r="41" spans="1:15" s="3" customFormat="1" ht="15.75" x14ac:dyDescent="0.25">
      <c r="A41" s="5"/>
      <c r="B41" s="5"/>
      <c r="J41" s="7"/>
      <c r="K41" s="7"/>
    </row>
    <row r="42" spans="1:15" s="5" customFormat="1" ht="15.75" x14ac:dyDescent="0.25">
      <c r="A42" s="5" t="s">
        <v>68</v>
      </c>
      <c r="B42" s="5" t="s">
        <v>69</v>
      </c>
      <c r="J42" s="7">
        <f>46890*10+48530*2</f>
        <v>565960</v>
      </c>
      <c r="K42" s="7">
        <f>140593.38+140593.38+140662.83+144840.64</f>
        <v>566690.23</v>
      </c>
      <c r="M42" s="16"/>
      <c r="N42" s="16"/>
      <c r="O42" s="16"/>
    </row>
    <row r="43" spans="1:15" s="3" customFormat="1" ht="15.75" x14ac:dyDescent="0.25">
      <c r="B43" s="5" t="s">
        <v>70</v>
      </c>
      <c r="J43" s="7">
        <f>J4+J11+J20+J25+J32+J36+J38+J40+J42</f>
        <v>4418747.7300000004</v>
      </c>
      <c r="K43" s="7">
        <f>K4+K11+K20+K25+K32+K36+K38+K40+K42</f>
        <v>4410667.2799999993</v>
      </c>
      <c r="M43" s="17"/>
      <c r="N43" s="14"/>
    </row>
    <row r="44" spans="1:15" s="3" customFormat="1" ht="15.75" x14ac:dyDescent="0.25">
      <c r="B44" s="5" t="s">
        <v>71</v>
      </c>
      <c r="J44" s="9">
        <f>ROUND(J43*7/100,2)</f>
        <v>309312.34000000003</v>
      </c>
      <c r="K44" s="9">
        <f>ROUND(K43*7/100,2)</f>
        <v>308746.71000000002</v>
      </c>
      <c r="M44" s="14"/>
      <c r="N44" s="14"/>
    </row>
    <row r="45" spans="1:15" s="3" customFormat="1" ht="15.75" x14ac:dyDescent="0.25">
      <c r="B45" s="6" t="s">
        <v>72</v>
      </c>
      <c r="C45" s="6"/>
      <c r="D45" s="6"/>
      <c r="J45" s="7">
        <f>SUM(J43:J44)</f>
        <v>4728060.07</v>
      </c>
      <c r="K45" s="7">
        <f>SUM(K43:K44)</f>
        <v>4719413.9899999993</v>
      </c>
    </row>
    <row r="46" spans="1:15" s="3" customFormat="1" ht="15.75" x14ac:dyDescent="0.25">
      <c r="B46" s="18"/>
      <c r="C46" s="18"/>
      <c r="D46" s="18"/>
      <c r="J46" s="7"/>
      <c r="K46" s="7"/>
    </row>
    <row r="47" spans="1:15" s="5" customFormat="1" ht="15.75" x14ac:dyDescent="0.25">
      <c r="A47" s="6" t="s">
        <v>73</v>
      </c>
      <c r="B47" s="6"/>
      <c r="C47" s="6"/>
      <c r="D47" s="6"/>
      <c r="J47" s="7"/>
      <c r="K47" s="7">
        <f>1167617.48+1168078.39+1172456.91+1148661.17</f>
        <v>4656813.95</v>
      </c>
    </row>
    <row r="48" spans="1:15" s="5" customFormat="1" ht="15.75" x14ac:dyDescent="0.25">
      <c r="A48" s="6" t="s">
        <v>74</v>
      </c>
      <c r="B48" s="6"/>
      <c r="C48" s="6"/>
      <c r="D48" s="6"/>
      <c r="E48" s="6"/>
      <c r="F48" s="6"/>
      <c r="J48" s="7"/>
      <c r="K48" s="7">
        <f>1051752.19+1113810.07+1138589.06+1136541.4</f>
        <v>4440692.72</v>
      </c>
    </row>
    <row r="49" spans="1:11" s="3" customFormat="1" ht="15.75" x14ac:dyDescent="0.25">
      <c r="A49" s="5" t="s">
        <v>75</v>
      </c>
      <c r="K49" s="19">
        <f>20989.82+23365.58+19571.8+24294.35</f>
        <v>88221.549999999988</v>
      </c>
    </row>
    <row r="50" spans="1:11" s="3" customFormat="1" ht="15.75" x14ac:dyDescent="0.25">
      <c r="A50" s="5" t="s">
        <v>76</v>
      </c>
      <c r="K50" s="17">
        <f>K48+K49-K45</f>
        <v>-190499.71999999974</v>
      </c>
    </row>
    <row r="51" spans="1:11" s="3" customFormat="1" ht="15.75" x14ac:dyDescent="0.25">
      <c r="A51" s="5"/>
    </row>
    <row r="52" spans="1:11" s="3" customFormat="1" ht="15" x14ac:dyDescent="0.2">
      <c r="B52" s="3" t="s">
        <v>77</v>
      </c>
      <c r="J52" s="3" t="s">
        <v>78</v>
      </c>
    </row>
    <row r="53" spans="1:11" s="3" customFormat="1" ht="15" x14ac:dyDescent="0.2"/>
    <row r="54" spans="1:11" s="3" customFormat="1" ht="15" x14ac:dyDescent="0.2">
      <c r="B54" s="3" t="s">
        <v>79</v>
      </c>
      <c r="I54" s="20"/>
      <c r="J54" s="3" t="s">
        <v>80</v>
      </c>
    </row>
    <row r="55" spans="1:11" s="3" customFormat="1" ht="15" x14ac:dyDescent="0.2"/>
    <row r="56" spans="1:11" s="3" customFormat="1" ht="15" x14ac:dyDescent="0.2"/>
    <row r="57" spans="1:11" s="3" customFormat="1" ht="15" x14ac:dyDescent="0.2"/>
    <row r="58" spans="1:11" s="3" customFormat="1" ht="15" x14ac:dyDescent="0.2"/>
    <row r="59" spans="1:11" s="3" customFormat="1" ht="15" x14ac:dyDescent="0.2"/>
    <row r="60" spans="1:11" s="3" customFormat="1" ht="15" x14ac:dyDescent="0.2"/>
    <row r="61" spans="1:11" s="3" customFormat="1" ht="15" x14ac:dyDescent="0.2"/>
    <row r="62" spans="1:11" s="3" customFormat="1" ht="15" x14ac:dyDescent="0.2"/>
    <row r="63" spans="1:11" s="3" customFormat="1" ht="15" x14ac:dyDescent="0.2"/>
    <row r="64" spans="1:11" s="3" customFormat="1" ht="15" x14ac:dyDescent="0.2"/>
    <row r="65" s="3" customFormat="1" ht="15" x14ac:dyDescent="0.2"/>
    <row r="66" s="3" customFormat="1" ht="15" x14ac:dyDescent="0.2"/>
    <row r="67" s="3" customFormat="1" ht="15" x14ac:dyDescent="0.2"/>
    <row r="68" s="3" customFormat="1" ht="15" x14ac:dyDescent="0.2"/>
    <row r="69" s="3" customFormat="1" ht="15" x14ac:dyDescent="0.2"/>
    <row r="70" s="3" customFormat="1" ht="15" x14ac:dyDescent="0.2"/>
    <row r="71" s="3" customFormat="1" ht="15" x14ac:dyDescent="0.2"/>
    <row r="72" s="3" customFormat="1" ht="15" x14ac:dyDescent="0.2"/>
    <row r="73" s="3" customFormat="1" ht="15" x14ac:dyDescent="0.2"/>
    <row r="74" s="3" customFormat="1" ht="15" x14ac:dyDescent="0.2"/>
    <row r="75" s="3" customFormat="1" ht="15" x14ac:dyDescent="0.2"/>
    <row r="76" s="3" customFormat="1" ht="15" x14ac:dyDescent="0.2"/>
    <row r="77" s="3" customFormat="1" ht="15" x14ac:dyDescent="0.2"/>
    <row r="78" s="3" customFormat="1" ht="15" x14ac:dyDescent="0.2"/>
    <row r="79" s="3" customFormat="1" ht="15" x14ac:dyDescent="0.2"/>
    <row r="80" s="3" customFormat="1" ht="15" x14ac:dyDescent="0.2"/>
    <row r="81" s="3" customFormat="1" ht="15" x14ac:dyDescent="0.2"/>
    <row r="82" s="3" customFormat="1" ht="15" x14ac:dyDescent="0.2"/>
    <row r="83" s="3" customFormat="1" ht="15" x14ac:dyDescent="0.2"/>
    <row r="84" s="3" customFormat="1" ht="15" x14ac:dyDescent="0.2"/>
    <row r="85" s="3" customFormat="1" ht="15" x14ac:dyDescent="0.2"/>
    <row r="86" s="3" customFormat="1" ht="15" x14ac:dyDescent="0.2"/>
    <row r="87" s="3" customFormat="1" ht="15" x14ac:dyDescent="0.2"/>
    <row r="88" s="3" customFormat="1" ht="15" x14ac:dyDescent="0.2"/>
    <row r="89" s="3" customFormat="1" ht="15" x14ac:dyDescent="0.2"/>
    <row r="90" s="3" customFormat="1" ht="15" x14ac:dyDescent="0.2"/>
    <row r="91" s="3" customFormat="1" ht="15" x14ac:dyDescent="0.2"/>
    <row r="92" s="3" customFormat="1" ht="15" x14ac:dyDescent="0.2"/>
    <row r="93" s="3" customFormat="1" ht="15" x14ac:dyDescent="0.2"/>
    <row r="94" s="3" customFormat="1" ht="15" x14ac:dyDescent="0.2"/>
    <row r="95" s="3" customFormat="1" ht="15" x14ac:dyDescent="0.2"/>
    <row r="96" s="3" customFormat="1" ht="15" x14ac:dyDescent="0.2"/>
    <row r="97" s="3" customFormat="1" ht="15" x14ac:dyDescent="0.2"/>
    <row r="98" s="3" customFormat="1" ht="15" x14ac:dyDescent="0.2"/>
    <row r="99" s="3" customFormat="1" ht="15" x14ac:dyDescent="0.2"/>
    <row r="100" s="3" customFormat="1" ht="15" x14ac:dyDescent="0.2"/>
    <row r="101" s="3" customFormat="1" ht="15" x14ac:dyDescent="0.2"/>
    <row r="102" s="3" customFormat="1" ht="15" x14ac:dyDescent="0.2"/>
    <row r="103" s="3" customFormat="1" ht="15" x14ac:dyDescent="0.2"/>
    <row r="104" s="3" customFormat="1" ht="15" x14ac:dyDescent="0.2"/>
    <row r="105" s="3" customFormat="1" ht="15" x14ac:dyDescent="0.2"/>
    <row r="106" s="3" customFormat="1" ht="15" x14ac:dyDescent="0.2"/>
    <row r="107" s="3" customFormat="1" ht="15" x14ac:dyDescent="0.2"/>
    <row r="108" s="3" customFormat="1" ht="15" x14ac:dyDescent="0.2"/>
    <row r="109" s="3" customFormat="1" ht="15" x14ac:dyDescent="0.2"/>
    <row r="110" s="3" customFormat="1" ht="15" x14ac:dyDescent="0.2"/>
    <row r="111" s="3" customFormat="1" ht="15" x14ac:dyDescent="0.2"/>
    <row r="112" s="3" customFormat="1" ht="15" x14ac:dyDescent="0.2"/>
    <row r="113" s="3" customFormat="1" ht="15" x14ac:dyDescent="0.2"/>
    <row r="114" s="3" customFormat="1" ht="15" x14ac:dyDescent="0.2"/>
    <row r="115" s="3" customFormat="1" ht="15" x14ac:dyDescent="0.2"/>
    <row r="116" s="3" customFormat="1" ht="15" x14ac:dyDescent="0.2"/>
    <row r="117" s="3" customFormat="1" ht="15" x14ac:dyDescent="0.2"/>
    <row r="118" s="3" customFormat="1" ht="15" x14ac:dyDescent="0.2"/>
    <row r="119" s="3" customFormat="1" ht="15" x14ac:dyDescent="0.2"/>
    <row r="120" s="3" customFormat="1" ht="15" x14ac:dyDescent="0.2"/>
    <row r="121" s="3" customFormat="1" ht="15" x14ac:dyDescent="0.2"/>
    <row r="122" s="3" customFormat="1" ht="15" x14ac:dyDescent="0.2"/>
    <row r="123" s="3" customFormat="1" ht="15" x14ac:dyDescent="0.2"/>
    <row r="124" s="3" customFormat="1" ht="15" x14ac:dyDescent="0.2"/>
    <row r="125" s="3" customFormat="1" ht="15" x14ac:dyDescent="0.2"/>
    <row r="126" s="3" customFormat="1" ht="15" x14ac:dyDescent="0.2"/>
    <row r="127" s="3" customFormat="1" ht="15" x14ac:dyDescent="0.2"/>
    <row r="128" s="3" customFormat="1" ht="15" x14ac:dyDescent="0.2"/>
    <row r="129" s="3" customFormat="1" ht="15" x14ac:dyDescent="0.2"/>
    <row r="130" s="3" customFormat="1" ht="15" x14ac:dyDescent="0.2"/>
    <row r="131" s="3" customFormat="1" ht="15" x14ac:dyDescent="0.2"/>
    <row r="132" s="3" customFormat="1" ht="15" x14ac:dyDescent="0.2"/>
    <row r="133" s="3" customFormat="1" ht="15" x14ac:dyDescent="0.2"/>
    <row r="134" s="3" customFormat="1" ht="15" x14ac:dyDescent="0.2"/>
    <row r="135" s="3" customFormat="1" ht="15" x14ac:dyDescent="0.2"/>
    <row r="136" s="3" customFormat="1" ht="15" x14ac:dyDescent="0.2"/>
    <row r="137" s="3" customFormat="1" ht="15" x14ac:dyDescent="0.2"/>
    <row r="138" s="3" customFormat="1" ht="15" x14ac:dyDescent="0.2"/>
    <row r="139" s="3" customFormat="1" ht="15" x14ac:dyDescent="0.2"/>
    <row r="140" s="3" customFormat="1" ht="15" x14ac:dyDescent="0.2"/>
    <row r="141" s="3" customFormat="1" ht="15" x14ac:dyDescent="0.2"/>
    <row r="142" s="3" customFormat="1" ht="15" x14ac:dyDescent="0.2"/>
    <row r="143" s="3" customFormat="1" ht="15" x14ac:dyDescent="0.2"/>
    <row r="144" s="3" customFormat="1" ht="15" x14ac:dyDescent="0.2"/>
    <row r="145" s="3" customFormat="1" ht="15" x14ac:dyDescent="0.2"/>
    <row r="146" s="3" customFormat="1" ht="15" x14ac:dyDescent="0.2"/>
    <row r="147" s="3" customFormat="1" ht="15" x14ac:dyDescent="0.2"/>
    <row r="148" s="3" customFormat="1" ht="15" x14ac:dyDescent="0.2"/>
    <row r="149" s="3" customFormat="1" ht="15" x14ac:dyDescent="0.2"/>
    <row r="150" s="3" customFormat="1" ht="15" x14ac:dyDescent="0.2"/>
    <row r="151" s="3" customFormat="1" ht="15" x14ac:dyDescent="0.2"/>
    <row r="152" s="3" customFormat="1" ht="15" x14ac:dyDescent="0.2"/>
    <row r="153" s="3" customFormat="1" ht="15" x14ac:dyDescent="0.2"/>
    <row r="154" s="3" customFormat="1" ht="15" x14ac:dyDescent="0.2"/>
    <row r="155" s="3" customFormat="1" ht="15" x14ac:dyDescent="0.2"/>
    <row r="156" s="3" customFormat="1" ht="15" x14ac:dyDescent="0.2"/>
    <row r="157" s="3" customFormat="1" ht="15" x14ac:dyDescent="0.2"/>
    <row r="158" s="3" customFormat="1" ht="15" x14ac:dyDescent="0.2"/>
    <row r="159" s="3" customFormat="1" ht="15" x14ac:dyDescent="0.2"/>
    <row r="160" s="3" customFormat="1" ht="15" x14ac:dyDescent="0.2"/>
    <row r="161" s="3" customFormat="1" ht="15" x14ac:dyDescent="0.2"/>
    <row r="162" s="3" customFormat="1" ht="15" x14ac:dyDescent="0.2"/>
    <row r="163" s="3" customFormat="1" ht="15" x14ac:dyDescent="0.2"/>
    <row r="164" s="3" customFormat="1" ht="15" x14ac:dyDescent="0.2"/>
    <row r="165" s="3" customFormat="1" ht="15" x14ac:dyDescent="0.2"/>
    <row r="166" s="3" customFormat="1" ht="15" x14ac:dyDescent="0.2"/>
    <row r="167" s="3" customFormat="1" ht="15" x14ac:dyDescent="0.2"/>
    <row r="168" s="3" customFormat="1" ht="15" x14ac:dyDescent="0.2"/>
    <row r="169" s="3" customFormat="1" ht="15" x14ac:dyDescent="0.2"/>
    <row r="170" s="3" customFormat="1" ht="15" x14ac:dyDescent="0.2"/>
    <row r="171" s="3" customFormat="1" ht="15" x14ac:dyDescent="0.2"/>
    <row r="172" s="3" customFormat="1" ht="15" x14ac:dyDescent="0.2"/>
    <row r="173" s="3" customFormat="1" ht="15" x14ac:dyDescent="0.2"/>
    <row r="174" s="3" customFormat="1" ht="15" x14ac:dyDescent="0.2"/>
    <row r="175" s="3" customFormat="1" ht="15" x14ac:dyDescent="0.2"/>
    <row r="176" s="3" customFormat="1" ht="15" x14ac:dyDescent="0.2"/>
    <row r="177" s="3" customFormat="1" ht="15" x14ac:dyDescent="0.2"/>
  </sheetData>
  <mergeCells count="21">
    <mergeCell ref="B45:D45"/>
    <mergeCell ref="A47:D47"/>
    <mergeCell ref="A48:F48"/>
    <mergeCell ref="C21:G21"/>
    <mergeCell ref="C22:G22"/>
    <mergeCell ref="C27:G27"/>
    <mergeCell ref="C28:F28"/>
    <mergeCell ref="B36:E36"/>
    <mergeCell ref="B38:F38"/>
    <mergeCell ref="C12:D12"/>
    <mergeCell ref="C13:E13"/>
    <mergeCell ref="C14:F14"/>
    <mergeCell ref="C15:H15"/>
    <mergeCell ref="C16:F16"/>
    <mergeCell ref="B20:H20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2020-02-05T10:31:41Z</dcterms:created>
  <dcterms:modified xsi:type="dcterms:W3CDTF">2020-02-05T10:37:04Z</dcterms:modified>
</cp:coreProperties>
</file>