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4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J34" i="1"/>
  <c r="K33" i="1"/>
  <c r="K34" i="1" s="1"/>
  <c r="K32" i="1" s="1"/>
  <c r="K29" i="1"/>
  <c r="K28" i="1"/>
  <c r="K27" i="1"/>
  <c r="K26" i="1"/>
  <c r="K25" i="1" s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K44" i="1" l="1"/>
  <c r="K45" i="1" s="1"/>
  <c r="K50" i="1" s="1"/>
  <c r="J45" i="1"/>
  <c r="J44" i="1"/>
</calcChain>
</file>

<file path=xl/sharedStrings.xml><?xml version="1.0" encoding="utf-8"?>
<sst xmlns="http://schemas.openxmlformats.org/spreadsheetml/2006/main" count="80" uniqueCount="80">
  <si>
    <t xml:space="preserve">ОТЧЁТ по расходам на обслуживание </t>
  </si>
  <si>
    <t xml:space="preserve"> д.42 по ул. Новоселов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</si>
  <si>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</si>
  <si>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</si>
  <si>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</si>
  <si>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</si>
  <si>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</si>
  <si>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уборщиц, рабочих м/пр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</si>
  <si>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</si>
  <si>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</si>
  <si>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</si>
  <si>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</si>
  <si>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</si>
  <si>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</si>
  <si>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</si>
  <si>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</si>
  <si>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</si>
  <si>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</si>
  <si>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</si>
  <si>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</si>
  <si>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</si>
  <si>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</si>
  <si>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</si>
  <si>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</si>
  <si>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</si>
  <si>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</si>
  <si>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</si>
  <si>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</si>
  <si>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</si>
  <si>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</si>
  <si>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</si>
  <si>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</si>
  <si>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</si>
  <si>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</si>
  <si>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</si>
  <si>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</si>
  <si>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</si>
  <si>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</si>
  <si>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</si>
  <si>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</si>
  <si>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</si>
  <si>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</si>
  <si>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</si>
  <si>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</si>
  <si>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</si>
  <si>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</si>
  <si>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</si>
  <si>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</si>
  <si>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</si>
  <si>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</si>
  <si>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</si>
  <si>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</si>
  <si>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</si>
  <si>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Герметизация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</si>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</sst>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6" workbookViewId="0">
      <selection activeCell="K22" sqref="K22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140625" customWidth="1"/>
    <col min="13" max="13" width="19.85546875" style="22" customWidth="1"/>
    <col min="14" max="14" width="15.8554687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661607.54</v>
      </c>
      <c r="K4" s="9">
        <f>SUM(K5:K9)</f>
        <v>687081.35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36964*12</f>
        <v>443568</v>
      </c>
      <c r="K5" s="11">
        <f>106531.18+128298.73+109860.69+111221.51</f>
        <v>455912.11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133957.54</v>
      </c>
      <c r="K6" s="13">
        <f>ROUND(K5*30.2/100,2)</f>
        <v>137685.46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1457*10+2187*2</f>
        <v>18944</v>
      </c>
      <c r="K7" s="11">
        <f>9304.83+1302.12+4811.34+10358.61</f>
        <v>25776.9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4632*10</f>
        <v>46320</v>
      </c>
      <c r="K8" s="11">
        <f>16809.92+8372.42+11931.13+5113.02</f>
        <v>42226.489999999991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1357*10+2624*2</f>
        <v>18818</v>
      </c>
      <c r="K9" s="11">
        <f>13723.04+2421.97+328.96+9006.42</f>
        <v>25480.39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646372</v>
      </c>
      <c r="K11" s="9">
        <f>SUM(K12:K19)</f>
        <v>705947.13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17724*10</f>
        <v>177240</v>
      </c>
      <c r="K12" s="11">
        <f>62711.62+40783.63+43685.91+15908.98</f>
        <v>163090.14000000001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18630*10</f>
        <v>186300</v>
      </c>
      <c r="K13" s="11">
        <f>51553.05+62572.78+69061.36+25490.61</f>
        <v>208677.8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817*10+857*2</f>
        <v>9884</v>
      </c>
      <c r="K14" s="11">
        <f>2493.39+2493.39+2493.39+2493.39</f>
        <v>9973.56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7981*10+9512*2</f>
        <v>98834</v>
      </c>
      <c r="K15" s="11">
        <f>27785.92+29840.78+29206.61+25042.32</f>
        <v>111875.63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8701*12</f>
        <v>104412</v>
      </c>
      <c r="K16" s="11">
        <f>104410</f>
        <v>104410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618*12</f>
        <v>7416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6203*10</f>
        <v>62030</v>
      </c>
      <c r="K18" s="11">
        <v>106380</v>
      </c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128*2</f>
        <v>256</v>
      </c>
      <c r="K19" s="11">
        <f>140*11</f>
        <v>1540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SUM(J21:J24)</f>
        <v>735810</v>
      </c>
      <c r="K20" s="9">
        <f>SUM(K21:K24)</f>
        <v>578023.3899999999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f>52652*12</f>
        <v>631824</v>
      </c>
      <c r="K21" s="11">
        <f>157956.15+157956.15+157956.15+55523.94</f>
        <v>529392.3899999999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f>3915*12</f>
        <v>46980</v>
      </c>
      <c r="K22" s="11">
        <f>42710+0+4271</f>
        <v>46981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f>563*12</f>
        <v>6756</v>
      </c>
      <c r="K23" s="11">
        <f>150*11</f>
        <v>1650</v>
      </c>
      <c r="M23" s="6"/>
      <c r="N23" s="6"/>
      <c r="O23" s="6"/>
    </row>
    <row r="24" spans="1:15" s="4" customFormat="1" ht="15" x14ac:dyDescent="0.2">
      <c r="B24" s="4" t="s">
        <v>42</v>
      </c>
      <c r="C24" s="4" t="s">
        <v>43</v>
      </c>
      <c r="J24" s="11">
        <f>5025*10</f>
        <v>50250</v>
      </c>
      <c r="K24" s="11">
        <f>0</f>
        <v>0</v>
      </c>
      <c r="M24" s="6"/>
      <c r="N24" s="6"/>
      <c r="O24" s="6"/>
    </row>
    <row r="25" spans="1:15" s="4" customFormat="1" ht="15.75" x14ac:dyDescent="0.25">
      <c r="A25" s="7" t="s">
        <v>44</v>
      </c>
      <c r="B25" s="16" t="s">
        <v>45</v>
      </c>
      <c r="C25" s="16"/>
      <c r="D25" s="16"/>
      <c r="J25" s="9">
        <f>75350*10+99350*2</f>
        <v>952200</v>
      </c>
      <c r="K25" s="9">
        <f>SUM(K26:K30)</f>
        <v>908786.58</v>
      </c>
      <c r="M25" s="6"/>
      <c r="N25" s="6"/>
      <c r="O25" s="6"/>
    </row>
    <row r="26" spans="1:15" s="4" customFormat="1" ht="15" x14ac:dyDescent="0.2">
      <c r="B26" s="4" t="s">
        <v>46</v>
      </c>
      <c r="C26" s="10" t="s">
        <v>47</v>
      </c>
      <c r="D26" s="10"/>
      <c r="J26" s="11"/>
      <c r="K26" s="11">
        <f>103650.49+28131.73+383815.02+67384.36</f>
        <v>582981.6</v>
      </c>
      <c r="M26" s="6"/>
      <c r="N26" s="6"/>
      <c r="O26" s="6"/>
    </row>
    <row r="27" spans="1:15" s="4" customFormat="1" ht="15" x14ac:dyDescent="0.2">
      <c r="B27" s="4" t="s">
        <v>48</v>
      </c>
      <c r="C27" s="12" t="s">
        <v>49</v>
      </c>
      <c r="D27" s="12"/>
      <c r="E27" s="12"/>
      <c r="F27" s="12"/>
      <c r="G27" s="12"/>
      <c r="J27" s="11"/>
      <c r="K27" s="11">
        <f>64506.18+48813.16+58229+58156.79</f>
        <v>229705.13</v>
      </c>
      <c r="M27" s="6"/>
      <c r="N27" s="6"/>
      <c r="O27" s="6"/>
    </row>
    <row r="28" spans="1:15" s="4" customFormat="1" ht="15" x14ac:dyDescent="0.2">
      <c r="B28" s="4" t="s">
        <v>50</v>
      </c>
      <c r="C28" s="12" t="s">
        <v>51</v>
      </c>
      <c r="D28" s="12"/>
      <c r="E28" s="12"/>
      <c r="F28" s="12"/>
      <c r="G28" s="10"/>
      <c r="H28" s="10"/>
      <c r="J28" s="11"/>
      <c r="K28" s="11">
        <f>17292.98+17546.64+17117.33+30542.9</f>
        <v>82499.850000000006</v>
      </c>
      <c r="M28" s="6"/>
      <c r="N28" s="6"/>
      <c r="O28" s="6"/>
    </row>
    <row r="29" spans="1:15" s="4" customFormat="1" ht="15" x14ac:dyDescent="0.2">
      <c r="B29" s="4" t="s">
        <v>52</v>
      </c>
      <c r="C29" s="15" t="s">
        <v>53</v>
      </c>
      <c r="D29" s="15"/>
      <c r="E29" s="15"/>
      <c r="F29" s="15"/>
      <c r="G29" s="10"/>
      <c r="H29" s="10"/>
      <c r="J29" s="11"/>
      <c r="K29" s="11">
        <f>200*68</f>
        <v>13600</v>
      </c>
    </row>
    <row r="30" spans="1:15" s="4" customFormat="1" ht="15" x14ac:dyDescent="0.2">
      <c r="B30" s="4" t="s">
        <v>54</v>
      </c>
      <c r="C30" s="15"/>
      <c r="D30" s="15"/>
      <c r="E30" s="15"/>
      <c r="F30" s="15"/>
      <c r="G30" s="10"/>
      <c r="H30" s="10"/>
      <c r="J30" s="11"/>
      <c r="K30" s="11"/>
      <c r="M30" s="6"/>
      <c r="N30" s="6"/>
      <c r="O30" s="6"/>
    </row>
    <row r="31" spans="1:15" s="4" customFormat="1" ht="15" x14ac:dyDescent="0.2">
      <c r="B31" s="4" t="s">
        <v>55</v>
      </c>
      <c r="C31" s="15"/>
      <c r="D31" s="15"/>
      <c r="E31" s="15"/>
      <c r="F31" s="15"/>
      <c r="G31" s="10"/>
      <c r="H31" s="10"/>
      <c r="J31" s="11"/>
      <c r="K31" s="11"/>
      <c r="M31" s="6"/>
      <c r="N31" s="6"/>
      <c r="O31" s="6"/>
    </row>
    <row r="32" spans="1:15" s="4" customFormat="1" ht="15" customHeight="1" x14ac:dyDescent="0.25">
      <c r="A32" s="7" t="s">
        <v>56</v>
      </c>
      <c r="B32" s="16" t="s">
        <v>57</v>
      </c>
      <c r="C32" s="16"/>
      <c r="D32" s="16"/>
      <c r="J32" s="9">
        <v>0</v>
      </c>
      <c r="K32" s="9">
        <f>K33+K34</f>
        <v>7112.1750000000002</v>
      </c>
      <c r="M32" s="6"/>
      <c r="N32" s="6"/>
      <c r="O32" s="6"/>
    </row>
    <row r="33" spans="1:15" s="4" customFormat="1" ht="15.75" x14ac:dyDescent="0.25">
      <c r="A33" s="7"/>
      <c r="B33" s="10" t="s">
        <v>58</v>
      </c>
      <c r="C33" s="10" t="s">
        <v>59</v>
      </c>
      <c r="D33" s="10"/>
      <c r="J33" s="9">
        <v>0</v>
      </c>
      <c r="K33" s="11">
        <f>5462.5</f>
        <v>5462.5</v>
      </c>
      <c r="M33" s="6"/>
      <c r="N33" s="6"/>
      <c r="O33" s="6"/>
    </row>
    <row r="34" spans="1:15" s="4" customFormat="1" ht="15.75" x14ac:dyDescent="0.25">
      <c r="A34" s="7"/>
      <c r="B34" s="10" t="s">
        <v>60</v>
      </c>
      <c r="C34" s="10" t="s">
        <v>61</v>
      </c>
      <c r="D34" s="10"/>
      <c r="J34" s="11">
        <f>J33*0.302</f>
        <v>0</v>
      </c>
      <c r="K34" s="11">
        <f>K33*0.302</f>
        <v>1649.675</v>
      </c>
    </row>
    <row r="35" spans="1:15" s="4" customFormat="1" ht="15.75" x14ac:dyDescent="0.25">
      <c r="A35" s="7"/>
      <c r="B35" s="10"/>
      <c r="C35" s="10"/>
      <c r="D35" s="10"/>
      <c r="J35" s="9"/>
      <c r="K35" s="11"/>
      <c r="M35" s="6"/>
      <c r="N35" s="6"/>
      <c r="O35" s="6"/>
    </row>
    <row r="36" spans="1:15" s="4" customFormat="1" ht="15.75" x14ac:dyDescent="0.25">
      <c r="A36" s="7" t="s">
        <v>62</v>
      </c>
      <c r="B36" s="8" t="s">
        <v>63</v>
      </c>
      <c r="C36" s="8"/>
      <c r="D36" s="8"/>
      <c r="E36" s="8"/>
      <c r="J36" s="9">
        <f>40630*12</f>
        <v>487560</v>
      </c>
      <c r="K36" s="9">
        <f>138843.03+113827.57+131412.5+41656.08+83621.46</f>
        <v>509360.64000000001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64</v>
      </c>
      <c r="B38" s="8" t="s">
        <v>65</v>
      </c>
      <c r="C38" s="8"/>
      <c r="D38" s="8"/>
      <c r="E38" s="8"/>
      <c r="F38" s="8"/>
      <c r="J38" s="9">
        <f>79360*10+93860*2</f>
        <v>981320</v>
      </c>
      <c r="K38" s="9">
        <f>260220.49+267510.23+242514.87+84054.93+172628.08</f>
        <v>1026928.6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66</v>
      </c>
      <c r="B40" s="7" t="s">
        <v>67</v>
      </c>
      <c r="J40" s="9">
        <f>6660*12</f>
        <v>79920</v>
      </c>
      <c r="K40" s="9">
        <f>69825.21+1231.45+34.99+0</f>
        <v>71091.650000000009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68</v>
      </c>
      <c r="B42" s="7" t="s">
        <v>69</v>
      </c>
      <c r="J42" s="9">
        <f>56310*10+58270*2</f>
        <v>679640</v>
      </c>
      <c r="K42" s="9">
        <f>168800.55+168800.55+167104.47+174806.82</f>
        <v>679512.3899999999</v>
      </c>
      <c r="M42" s="17"/>
      <c r="N42" s="17"/>
      <c r="O42" s="17"/>
    </row>
    <row r="43" spans="1:15" s="4" customFormat="1" ht="15.75" x14ac:dyDescent="0.25">
      <c r="B43" s="7" t="s">
        <v>70</v>
      </c>
      <c r="J43" s="9">
        <f>J4+J11+J20+J25+J32+J36+J38+J40+J42</f>
        <v>5224429.54</v>
      </c>
      <c r="K43" s="9">
        <f>K4+K11+K20+K25+K32+K36+K38+K40+K42</f>
        <v>5173843.9049999993</v>
      </c>
      <c r="M43" s="6"/>
      <c r="N43" s="6"/>
      <c r="O43" s="6"/>
    </row>
    <row r="44" spans="1:15" s="4" customFormat="1" ht="15.75" x14ac:dyDescent="0.25">
      <c r="B44" s="7" t="s">
        <v>71</v>
      </c>
      <c r="J44" s="11">
        <f>ROUND(J43*7/100,2)</f>
        <v>365710.07</v>
      </c>
      <c r="K44" s="11">
        <f>ROUND(K43*7/100,2)</f>
        <v>362169.07</v>
      </c>
      <c r="M44" s="6"/>
      <c r="N44" s="6"/>
      <c r="O44" s="6"/>
    </row>
    <row r="45" spans="1:15" s="4" customFormat="1" ht="15.75" x14ac:dyDescent="0.25">
      <c r="B45" s="8" t="s">
        <v>72</v>
      </c>
      <c r="C45" s="8"/>
      <c r="D45" s="8"/>
      <c r="J45" s="9">
        <f>SUM(J43:J44)</f>
        <v>5590139.6100000003</v>
      </c>
      <c r="K45" s="9">
        <f>SUM(K43:K44)</f>
        <v>5536012.9749999996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73</v>
      </c>
      <c r="B47" s="8"/>
      <c r="C47" s="8"/>
      <c r="D47" s="8"/>
      <c r="J47" s="9"/>
      <c r="K47" s="9">
        <f>1372585.34+1372585.77+1377604.35+1349397.67</f>
        <v>5472173.1300000008</v>
      </c>
      <c r="M47" s="17"/>
      <c r="N47" s="17"/>
      <c r="O47" s="17"/>
    </row>
    <row r="48" spans="1:15" s="7" customFormat="1" ht="15.75" x14ac:dyDescent="0.25">
      <c r="A48" s="8" t="s">
        <v>74</v>
      </c>
      <c r="B48" s="8"/>
      <c r="C48" s="8"/>
      <c r="D48" s="8"/>
      <c r="E48" s="8"/>
      <c r="F48" s="8"/>
      <c r="J48" s="9"/>
      <c r="K48" s="9">
        <f>1263914.56+1366123.15+1349251.41+1331485.98</f>
        <v>5310775.0999999996</v>
      </c>
      <c r="M48" s="17"/>
      <c r="N48" s="17"/>
      <c r="O48" s="17"/>
    </row>
    <row r="49" spans="1:15" s="4" customFormat="1" ht="15.75" x14ac:dyDescent="0.25">
      <c r="A49" s="7" t="s">
        <v>75</v>
      </c>
      <c r="K49" s="19">
        <f>24664.38+40981.47+26500.15+38033.06</f>
        <v>130179.06</v>
      </c>
      <c r="M49" s="6"/>
      <c r="N49" s="6"/>
      <c r="O49" s="6"/>
    </row>
    <row r="50" spans="1:15" s="4" customFormat="1" ht="15.75" x14ac:dyDescent="0.25">
      <c r="A50" s="7" t="s">
        <v>76</v>
      </c>
      <c r="K50" s="20">
        <f>K48+K49-K45</f>
        <v>-95058.81500000041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77</v>
      </c>
      <c r="J52" s="4" t="s">
        <v>78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79</v>
      </c>
      <c r="I54" s="21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2020-02-05T10:31:08Z</dcterms:created>
  <dcterms:modified xsi:type="dcterms:W3CDTF">2020-02-05T10:35:39Z</dcterms:modified>
</cp:coreProperties>
</file>