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8" i="1"/>
  <c r="K27" i="1"/>
  <c r="K26" i="1"/>
  <c r="K25" i="1"/>
  <c r="J25" i="1"/>
  <c r="K20" i="1"/>
  <c r="J20" i="1"/>
  <c r="K19" i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5" i="1" l="1"/>
  <c r="J44" i="1"/>
  <c r="K44" i="1"/>
  <c r="K45" i="1" s="1"/>
  <c r="K50" i="1" s="1"/>
</calcChain>
</file>

<file path=xl/sharedStrings.xml><?xml version="1.0" encoding="utf-8"?>
<sst xmlns="http://schemas.openxmlformats.org/spreadsheetml/2006/main" count="79" uniqueCount="79">
  <si>
    <t xml:space="preserve">ОТЧЁТ по расходам на обслуживание </t>
  </si>
  <si>
    <t xml:space="preserve"> д.58 корп. 1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</si>
  <si>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</si>
  <si>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</si>
  <si>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</si>
  <si>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</si>
  <si>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</si>
  <si>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</si>
  <si>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</si>
  <si>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</si>
  <si>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</si>
  <si>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</si>
  <si>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</si>
  <si>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</si>
  <si>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</si>
  <si>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</si>
  <si>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</si>
  <si>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</si>
  <si>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</si>
  <si>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</si>
  <si>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</si>
  <si>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</si>
  <si>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</si>
  <si>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</si>
  <si>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</si>
  <si>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</si>
  <si>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</si>
  <si>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</si>
  <si>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</si>
  <si>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</si>
  <si>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</si>
  <si>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</si>
  <si>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</si>
  <si>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</si>
  <si>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</si>
  <si>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</si>
  <si>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</si>
  <si>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</si>
  <si>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</si>
  <si>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</si>
  <si>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</si>
  <si>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</si>
  <si>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</si>
  <si>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</si>
  <si>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</si>
  <si>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</si>
  <si>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</si>
  <si>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</si>
  <si>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</si>
  <si>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</si>
  <si>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</si>
  <si>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</si>
  <si>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</si>
  <si>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</si>
  <si>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</si>
  <si>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</si>
  <si>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</si>
  <si>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</si>
  <si>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</si>
  <si>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</si>
  <si>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</si>
  <si>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</si>
  <si>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</si>
  <si>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</si>
  <si>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</si>
  <si>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</si>
  <si>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</si>
  <si>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</si>
  <si>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</si>
  <si>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</si>
  <si>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</si>
  <si>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</si>
  <si>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</si>
  <si>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</si>
  <si>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</si>
  <si>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</si>
  <si>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</si>
  <si>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</si>
  <si>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Кузина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</si>
</sst>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0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6.140625" style="22" bestFit="1" customWidth="1"/>
    <col min="14" max="14" width="12.71093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180001.64</v>
      </c>
      <c r="K4" s="9">
        <f>SUM(K5:K9)</f>
        <v>171158.55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10235*12</f>
        <v>122820</v>
      </c>
      <c r="K5" s="11">
        <f>29827.8+27245.2+28596.61+29225.06</f>
        <v>114894.67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37091.64</v>
      </c>
      <c r="K6" s="13">
        <f>ROUND(K5*30.2/100,2)</f>
        <v>34698.19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289*10+434*2</f>
        <v>3758</v>
      </c>
      <c r="K7" s="11">
        <f>1483.56+195.37+1201.29+2286.23</f>
        <v>5166.45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1260*10</f>
        <v>12600</v>
      </c>
      <c r="K8" s="11">
        <f>4319.38+2655.99+3357.57+1007.99</f>
        <v>11340.93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269*10+521*2</f>
        <v>3732</v>
      </c>
      <c r="K9" s="11">
        <f>2724.27+480.81+65.3+1787.93</f>
        <v>5058.3100000000004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125222</v>
      </c>
      <c r="K11" s="9">
        <f>SUM(K12:K19)</f>
        <v>123723.94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3528*10</f>
        <v>35280</v>
      </c>
      <c r="K12" s="11">
        <f>12363.15+8040.2+8612.36+3136.34</f>
        <v>32152.05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3708*10</f>
        <v>37080</v>
      </c>
      <c r="K13" s="11">
        <f>10163.31+12335.78+13614.96+5025.29</f>
        <v>41139.340000000004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290*10+304*2</f>
        <v>3508</v>
      </c>
      <c r="K14" s="11">
        <f>883.32+883.32+883.32+883.32</f>
        <v>3533.28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1584*10+1888*2</f>
        <v>19616</v>
      </c>
      <c r="K15" s="11">
        <f>5515.99+5923.91+5798.03+4971.34</f>
        <v>22209.27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0+23850+0</f>
        <v>23850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141*12</f>
        <v>1692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2025*2</f>
        <v>4050</v>
      </c>
      <c r="K18" s="11"/>
      <c r="M18" s="6"/>
      <c r="N18" s="6"/>
      <c r="O18" s="6"/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70*2</f>
        <v>140</v>
      </c>
      <c r="K19" s="11">
        <f>140*6</f>
        <v>840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42</v>
      </c>
      <c r="B25" s="16" t="s">
        <v>43</v>
      </c>
      <c r="C25" s="16"/>
      <c r="D25" s="16"/>
      <c r="J25" s="9">
        <f>20580*10+22580*2</f>
        <v>250960</v>
      </c>
      <c r="K25" s="9">
        <f>SUM(K26:K30)</f>
        <v>286224.33</v>
      </c>
      <c r="M25" s="6"/>
      <c r="N25" s="6"/>
      <c r="O25" s="6"/>
    </row>
    <row r="26" spans="1:15" s="4" customFormat="1" ht="15" x14ac:dyDescent="0.2">
      <c r="B26" s="4" t="s">
        <v>44</v>
      </c>
      <c r="C26" s="10" t="s">
        <v>45</v>
      </c>
      <c r="D26" s="10"/>
      <c r="J26" s="11"/>
      <c r="K26" s="11">
        <f>9190.3+43258.88+84431.51+79012.51</f>
        <v>215893.2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2"/>
      <c r="J27" s="11"/>
      <c r="K27" s="11">
        <f>14850.45+11697.74+12956.1+14449.17</f>
        <v>53953.46</v>
      </c>
      <c r="M27" s="6"/>
      <c r="N27" s="6"/>
      <c r="O27" s="6"/>
    </row>
    <row r="28" spans="1:15" s="4" customFormat="1" ht="15" x14ac:dyDescent="0.2">
      <c r="B28" s="4" t="s">
        <v>48</v>
      </c>
      <c r="C28" s="12" t="s">
        <v>49</v>
      </c>
      <c r="D28" s="12"/>
      <c r="E28" s="12"/>
      <c r="F28" s="12"/>
      <c r="G28" s="10"/>
      <c r="H28" s="10"/>
      <c r="J28" s="11"/>
      <c r="K28" s="11">
        <f>3432.96+3483.32+3398.09+6063.3</f>
        <v>16377.670000000002</v>
      </c>
      <c r="M28" s="6"/>
      <c r="N28" s="6"/>
      <c r="O28" s="6"/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52</v>
      </c>
      <c r="C30" s="15"/>
      <c r="D30" s="15"/>
      <c r="E30" s="15"/>
      <c r="F30" s="15"/>
      <c r="G30" s="10"/>
      <c r="H30" s="10"/>
      <c r="J30" s="11"/>
      <c r="K30" s="11"/>
    </row>
    <row r="31" spans="1:15" s="4" customFormat="1" ht="15" x14ac:dyDescent="0.2">
      <c r="B31" s="4" t="s">
        <v>53</v>
      </c>
      <c r="C31" s="15"/>
      <c r="D31" s="15"/>
      <c r="E31" s="15"/>
      <c r="F31" s="15"/>
      <c r="G31" s="10"/>
      <c r="H31" s="10"/>
      <c r="J31" s="11"/>
      <c r="K31" s="11"/>
    </row>
    <row r="32" spans="1:15" s="4" customFormat="1" ht="15.75" x14ac:dyDescent="0.25">
      <c r="A32" s="7" t="s">
        <v>54</v>
      </c>
      <c r="B32" s="16" t="s">
        <v>55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58</v>
      </c>
      <c r="C34" s="10" t="s">
        <v>59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6"/>
      <c r="C35" s="16"/>
      <c r="D35" s="16"/>
      <c r="J35" s="9"/>
      <c r="K35" s="9"/>
      <c r="M35" s="6"/>
      <c r="N35" s="6"/>
      <c r="O35" s="6"/>
    </row>
    <row r="36" spans="1:15" s="4" customFormat="1" ht="15.75" x14ac:dyDescent="0.25">
      <c r="A36" s="7" t="s">
        <v>60</v>
      </c>
      <c r="B36" s="8" t="s">
        <v>61</v>
      </c>
      <c r="C36" s="8"/>
      <c r="D36" s="8"/>
      <c r="E36" s="8"/>
      <c r="J36" s="9">
        <f>4400*12</f>
        <v>52800</v>
      </c>
      <c r="K36" s="9">
        <f>14926.33+13350.41+14129.19+4519.97+8978.56</f>
        <v>55904.46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62</v>
      </c>
      <c r="B38" s="8" t="s">
        <v>63</v>
      </c>
      <c r="C38" s="8"/>
      <c r="D38" s="8"/>
      <c r="E38" s="8"/>
      <c r="F38" s="8"/>
      <c r="J38" s="9">
        <f>9610*10+10950*2</f>
        <v>118000</v>
      </c>
      <c r="K38" s="9">
        <f>31601.32+32388+29321.7+10162.81+20154.55</f>
        <v>123628.38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64</v>
      </c>
      <c r="B40" s="7" t="s">
        <v>65</v>
      </c>
      <c r="J40" s="9">
        <f>1320*12</f>
        <v>15840</v>
      </c>
      <c r="K40" s="9">
        <f>13861.53+244.46+6.95+0</f>
        <v>14112.94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66</v>
      </c>
      <c r="B42" s="7" t="s">
        <v>67</v>
      </c>
      <c r="J42" s="9">
        <f>7940*10+8220*2</f>
        <v>95840</v>
      </c>
      <c r="K42" s="9">
        <f>23764.44+23764.44+23156.17+24645.42</f>
        <v>95330.469999999987</v>
      </c>
      <c r="M42" s="17"/>
      <c r="N42" s="17"/>
      <c r="O42" s="17"/>
    </row>
    <row r="43" spans="1:15" s="4" customFormat="1" ht="15.75" x14ac:dyDescent="0.25">
      <c r="B43" s="7" t="s">
        <v>68</v>
      </c>
      <c r="J43" s="9">
        <f>J4+J11+J20+J25+J32+J36+J38+J40+J42</f>
        <v>838663.64</v>
      </c>
      <c r="K43" s="9">
        <f>K4+K11+K20+K25+K32+K36+K38+K40+K42</f>
        <v>870083.07</v>
      </c>
      <c r="M43" s="6"/>
      <c r="N43" s="6"/>
      <c r="O43" s="6"/>
    </row>
    <row r="44" spans="1:15" s="4" customFormat="1" ht="15.75" x14ac:dyDescent="0.25">
      <c r="B44" s="7" t="s">
        <v>69</v>
      </c>
      <c r="J44" s="11">
        <f>ROUND(J43*7/100,2)</f>
        <v>58706.45</v>
      </c>
      <c r="K44" s="11">
        <f>ROUND(K43*7/100,2)</f>
        <v>60905.81</v>
      </c>
      <c r="M44" s="6"/>
      <c r="N44" s="6"/>
      <c r="O44" s="6"/>
    </row>
    <row r="45" spans="1:15" s="4" customFormat="1" ht="15.75" x14ac:dyDescent="0.25">
      <c r="B45" s="8" t="s">
        <v>70</v>
      </c>
      <c r="C45" s="8"/>
      <c r="D45" s="8"/>
      <c r="J45" s="9">
        <f>SUM(J43:J44)</f>
        <v>897370.09</v>
      </c>
      <c r="K45" s="9">
        <f>SUM(K43:K44)</f>
        <v>930988.87999999989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71</v>
      </c>
      <c r="B47" s="8"/>
      <c r="C47" s="8"/>
      <c r="D47" s="8"/>
      <c r="J47" s="9"/>
      <c r="K47" s="9">
        <f>220803.62+220803.6+221657.7+215583.72</f>
        <v>878848.6399999999</v>
      </c>
      <c r="M47" s="17"/>
      <c r="N47" s="17"/>
      <c r="O47" s="17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209761.91+222661.04+214061.02+221887.14</f>
        <v>868371.11</v>
      </c>
      <c r="M48" s="17"/>
      <c r="N48" s="17"/>
      <c r="O48" s="17"/>
    </row>
    <row r="49" spans="1:15" s="4" customFormat="1" ht="15.75" x14ac:dyDescent="0.25">
      <c r="A49" s="7" t="s">
        <v>73</v>
      </c>
      <c r="K49" s="19">
        <f>4092.5+3799.73+2767.08+4326.5</f>
        <v>14985.81</v>
      </c>
      <c r="M49" s="6"/>
      <c r="N49" s="6"/>
      <c r="O49" s="6"/>
    </row>
    <row r="50" spans="1:15" s="4" customFormat="1" ht="15.75" x14ac:dyDescent="0.25">
      <c r="A50" s="7" t="s">
        <v>74</v>
      </c>
      <c r="K50" s="20">
        <f>K48+K49-K45</f>
        <v>-47631.959999999846</v>
      </c>
      <c r="M50" s="6"/>
      <c r="N50" s="6"/>
      <c r="O50" s="6"/>
    </row>
    <row r="51" spans="1:15" s="4" customFormat="1" ht="15" x14ac:dyDescent="0.2"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1"/>
      <c r="J54" s="21" t="s">
        <v>78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2020-02-05T10:32:03Z</dcterms:created>
  <dcterms:modified xsi:type="dcterms:W3CDTF">2020-02-05T10:38:21Z</dcterms:modified>
</cp:coreProperties>
</file>