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Отчеты о выпол. работ 2019\"/>
    </mc:Choice>
  </mc:AlternateContent>
  <bookViews>
    <workbookView xWindow="0" yWindow="0" windowWidth="19200" windowHeight="11595"/>
  </bookViews>
  <sheets>
    <sheet name="3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7" i="1"/>
  <c r="K42" i="1"/>
  <c r="J42" i="1"/>
  <c r="K40" i="1"/>
  <c r="J40" i="1"/>
  <c r="K38" i="1"/>
  <c r="J38" i="1"/>
  <c r="K36" i="1"/>
  <c r="J36" i="1"/>
  <c r="K34" i="1"/>
  <c r="J34" i="1"/>
  <c r="K32" i="1"/>
  <c r="K30" i="1"/>
  <c r="K29" i="1"/>
  <c r="K28" i="1"/>
  <c r="K27" i="1"/>
  <c r="K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3" i="1" s="1"/>
  <c r="J5" i="1"/>
  <c r="J6" i="1" s="1"/>
  <c r="J4" i="1" s="1"/>
  <c r="J43" i="1" s="1"/>
  <c r="K44" i="1" l="1"/>
  <c r="K45" i="1" s="1"/>
  <c r="K50" i="1" s="1"/>
  <c r="J44" i="1"/>
  <c r="J45" i="1" s="1"/>
</calcChain>
</file>

<file path=xl/sharedStrings.xml><?xml version="1.0" encoding="utf-8"?>
<sst xmlns="http://schemas.openxmlformats.org/spreadsheetml/2006/main" count="82" uniqueCount="82">
  <si>
    <t xml:space="preserve">ОТЧЁТ по расходам на обслуживание </t>
  </si>
  <si>
    <t xml:space="preserve"> д.30 по ул. Зубковой за январь-декабрь 2019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</si>
  <si>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</si>
  <si>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</si>
  <si>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</si>
  <si>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</si>
  <si>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</si>
  <si>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</si>
  <si>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</si>
  <si>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30.2%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</si>
  <si>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</si>
  <si>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</si>
  <si>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</si>
  <si>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</si>
  <si>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</si>
  <si>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</si>
  <si>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</si>
  <si>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</si>
  <si>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</si>
  <si>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</si>
  <si>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</si>
  <si>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</si>
  <si>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</si>
  <si>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</si>
  <si>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</si>
  <si>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</si>
  <si>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</si>
  <si>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</si>
  <si>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</si>
  <si>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</si>
  <si>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</si>
  <si>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</si>
  <si>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2.8.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</si>
  <si>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</si>
  <si>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</si>
  <si>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</si>
  <si>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</si>
  <si>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</si>
  <si>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</si>
  <si>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</si>
  <si>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</si>
  <si>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</si>
  <si>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</si>
  <si>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лифтов, отраб. срок служ.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</si>
  <si>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</si>
  <si>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</si>
  <si>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</si>
  <si>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</si>
  <si>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</si>
  <si>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</si>
  <si>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</si>
  <si>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</si>
  <si>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</si>
  <si>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</si>
  <si>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</si>
  <si>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Ремонт балк. Козырьков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</si>
  <si>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</si>
  <si>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</si>
  <si>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</si>
  <si>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</si>
  <si>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</si>
  <si>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</si>
  <si>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</si>
  <si>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</si>
  <si>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</si>
  <si>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</si>
  <si>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</si>
  <si>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</si>
  <si>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</si>
  <si>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</si>
  <si>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</si>
  <si>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</si>
  <si>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</si>
  <si>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</si>
  <si>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</si>
  <si>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</si>
  <si>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</si>
  <si>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</si>
  <si>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</si>
  <si>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</si>
  <si>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</si>
  <si>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Шумилина Н.А.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</si>
</sst>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/>
    <xf numFmtId="0" fontId="2" fillId="0" borderId="0" xfId="0" quotePrefix="1" applyFo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7"/>
  <sheetViews>
    <sheetView tabSelected="1" topLeftCell="A13" workbookViewId="0">
      <selection activeCell="K39" sqref="K39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6.42578125" style="23" customWidth="1"/>
    <col min="14" max="14" width="16.28515625" style="23" customWidth="1"/>
    <col min="15" max="15" width="9.140625" style="23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SUM(J5:J10)</f>
        <v>664474.97</v>
      </c>
      <c r="K4" s="9">
        <f>SUM(K5:K10)</f>
        <v>654864.79999999993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36157*12</f>
        <v>433884</v>
      </c>
      <c r="K5" s="11">
        <f>105570.69+121250.16+88237.38+101585.69</f>
        <v>416643.92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ROUND(J5*30.2/100,2)</f>
        <v>131032.97</v>
      </c>
      <c r="K6" s="13">
        <f>ROUND(K5*30.2/100,2)</f>
        <v>125826.46</v>
      </c>
      <c r="M6" s="14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1474*10+2211*2</f>
        <v>19162</v>
      </c>
      <c r="K7" s="11">
        <f>21567.29+1537.37+1860.82+6231.74</f>
        <v>31197.22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6137*10</f>
        <v>61370</v>
      </c>
      <c r="K8" s="11">
        <f>21116.99+12984.85+16414.77+4927.98</f>
        <v>55444.59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1372*10+2653*2</f>
        <v>19026</v>
      </c>
      <c r="K9" s="11">
        <f>13869.65+2447.84+332.47+9102.65</f>
        <v>25752.61</v>
      </c>
      <c r="M9" s="6"/>
      <c r="N9" s="6"/>
      <c r="O9" s="6"/>
    </row>
    <row r="10" spans="1:15" s="4" customFormat="1" ht="15" x14ac:dyDescent="0.2">
      <c r="J10" s="11"/>
      <c r="K10" s="11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SUM(J12:J19)</f>
        <v>573818</v>
      </c>
      <c r="K11" s="9">
        <f>SUM(K12:K19)</f>
        <v>586925.36</v>
      </c>
      <c r="M11" s="6"/>
      <c r="N11" s="6"/>
      <c r="O11" s="6"/>
    </row>
    <row r="12" spans="1:15" s="4" customFormat="1" ht="15" x14ac:dyDescent="0.2">
      <c r="B12" s="15" t="s">
        <v>18</v>
      </c>
      <c r="C12" s="12" t="s">
        <v>19</v>
      </c>
      <c r="D12" s="12"/>
      <c r="E12" s="15"/>
      <c r="F12" s="15"/>
      <c r="J12" s="11">
        <f>17176*10</f>
        <v>171760</v>
      </c>
      <c r="K12" s="11">
        <f>60442.05+39307.65+42104.9+15333.23</f>
        <v>157187.83000000002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J13" s="11">
        <f>18054*10</f>
        <v>180540</v>
      </c>
      <c r="K13" s="11">
        <f>49687.31+60308.24+66562.01+24568.1</f>
        <v>201125.66</v>
      </c>
      <c r="M13" s="6"/>
      <c r="N13" s="6"/>
      <c r="O13" s="6"/>
    </row>
    <row r="14" spans="1:15" s="4" customFormat="1" ht="15" x14ac:dyDescent="0.2">
      <c r="B14" s="4" t="s">
        <v>22</v>
      </c>
      <c r="C14" s="12" t="s">
        <v>23</v>
      </c>
      <c r="D14" s="12"/>
      <c r="E14" s="12"/>
      <c r="F14" s="12"/>
      <c r="J14" s="11">
        <f>786*10+825*2</f>
        <v>9510</v>
      </c>
      <c r="K14" s="11">
        <f>2397.75+2397.75+2397.75+2397.75</f>
        <v>9591</v>
      </c>
      <c r="M14" s="6"/>
      <c r="N14" s="6"/>
      <c r="O14" s="6"/>
    </row>
    <row r="15" spans="1:15" s="4" customFormat="1" ht="15" x14ac:dyDescent="0.2">
      <c r="B15" s="4" t="s">
        <v>24</v>
      </c>
      <c r="C15" s="12" t="s">
        <v>25</v>
      </c>
      <c r="D15" s="12"/>
      <c r="E15" s="12"/>
      <c r="F15" s="12"/>
      <c r="G15" s="12"/>
      <c r="H15" s="12"/>
      <c r="J15" s="11">
        <f>8069*10+9617*2</f>
        <v>99924</v>
      </c>
      <c r="K15" s="11">
        <f>28082.77+30159.59+29518.64+25309.87</f>
        <v>113070.87</v>
      </c>
      <c r="M15" s="6"/>
      <c r="N15" s="6"/>
      <c r="O15" s="6"/>
    </row>
    <row r="16" spans="1:15" s="4" customFormat="1" ht="15" x14ac:dyDescent="0.2">
      <c r="B16" s="4" t="s">
        <v>26</v>
      </c>
      <c r="C16" s="12" t="s">
        <v>27</v>
      </c>
      <c r="D16" s="12"/>
      <c r="E16" s="12"/>
      <c r="F16" s="12"/>
      <c r="J16" s="11">
        <f>8701*12</f>
        <v>104412</v>
      </c>
      <c r="K16" s="11">
        <f>104410</f>
        <v>104410</v>
      </c>
      <c r="M16" s="6"/>
      <c r="N16" s="6"/>
      <c r="O16" s="6"/>
    </row>
    <row r="17" spans="1:15" s="4" customFormat="1" ht="15" x14ac:dyDescent="0.2">
      <c r="B17" s="4" t="s">
        <v>28</v>
      </c>
      <c r="C17" s="15" t="s">
        <v>29</v>
      </c>
      <c r="D17" s="15"/>
      <c r="E17" s="15"/>
      <c r="F17" s="15"/>
      <c r="J17" s="11">
        <f>618*12</f>
        <v>7416</v>
      </c>
      <c r="K17" s="11">
        <f>0</f>
        <v>0</v>
      </c>
    </row>
    <row r="18" spans="1:15" s="4" customFormat="1" ht="15" x14ac:dyDescent="0.2">
      <c r="B18" s="4" t="s">
        <v>30</v>
      </c>
      <c r="C18" s="15" t="s">
        <v>31</v>
      </c>
      <c r="D18" s="15"/>
      <c r="E18" s="15"/>
      <c r="F18" s="15"/>
      <c r="J18" s="11">
        <v>0</v>
      </c>
      <c r="K18" s="11">
        <v>0</v>
      </c>
      <c r="M18" s="6"/>
      <c r="N18" s="6"/>
      <c r="O18" s="6"/>
    </row>
    <row r="19" spans="1:15" s="4" customFormat="1" ht="15" x14ac:dyDescent="0.2">
      <c r="B19" s="4" t="s">
        <v>32</v>
      </c>
      <c r="C19" s="15" t="s">
        <v>33</v>
      </c>
      <c r="D19" s="15"/>
      <c r="E19" s="15"/>
      <c r="F19" s="15"/>
      <c r="J19" s="11">
        <f>128*2</f>
        <v>256</v>
      </c>
      <c r="K19" s="11">
        <f>140*11</f>
        <v>1540</v>
      </c>
    </row>
    <row r="20" spans="1:15" s="4" customFormat="1" ht="15.75" x14ac:dyDescent="0.25">
      <c r="A20" s="7" t="s">
        <v>34</v>
      </c>
      <c r="B20" s="8" t="s">
        <v>35</v>
      </c>
      <c r="C20" s="8"/>
      <c r="D20" s="8"/>
      <c r="E20" s="8"/>
      <c r="F20" s="8"/>
      <c r="G20" s="8"/>
      <c r="H20" s="8"/>
      <c r="J20" s="9">
        <f>SUM(J21:J24)</f>
        <v>749792</v>
      </c>
      <c r="K20" s="9">
        <f>SUM(K21:K24)</f>
        <v>691797.2</v>
      </c>
      <c r="M20" s="6"/>
      <c r="N20" s="6"/>
      <c r="O20" s="6"/>
    </row>
    <row r="21" spans="1:15" s="4" customFormat="1" ht="15" x14ac:dyDescent="0.2">
      <c r="B21" s="15" t="s">
        <v>36</v>
      </c>
      <c r="C21" s="12" t="s">
        <v>37</v>
      </c>
      <c r="D21" s="12"/>
      <c r="E21" s="12"/>
      <c r="F21" s="12"/>
      <c r="G21" s="12"/>
      <c r="J21" s="11">
        <f>53542*12</f>
        <v>642504</v>
      </c>
      <c r="K21" s="11">
        <f>160625.55+160625.55+160625.55+160625.55</f>
        <v>642502.19999999995</v>
      </c>
      <c r="M21" s="6"/>
      <c r="N21" s="6"/>
      <c r="O21" s="6"/>
    </row>
    <row r="22" spans="1:15" s="4" customFormat="1" ht="15" x14ac:dyDescent="0.2">
      <c r="B22" s="15" t="s">
        <v>38</v>
      </c>
      <c r="C22" s="12" t="s">
        <v>39</v>
      </c>
      <c r="D22" s="12"/>
      <c r="E22" s="12"/>
      <c r="F22" s="12"/>
      <c r="G22" s="12"/>
      <c r="H22" s="10"/>
      <c r="J22" s="11">
        <f>3970*12</f>
        <v>47640</v>
      </c>
      <c r="K22" s="11">
        <f>17084+21687+8874</f>
        <v>47645</v>
      </c>
      <c r="M22" s="6"/>
      <c r="N22" s="6"/>
      <c r="O22" s="6"/>
    </row>
    <row r="23" spans="1:15" s="4" customFormat="1" ht="15" x14ac:dyDescent="0.2">
      <c r="B23" s="4" t="s">
        <v>40</v>
      </c>
      <c r="C23" s="4" t="s">
        <v>41</v>
      </c>
      <c r="J23" s="11">
        <f>563*12</f>
        <v>6756</v>
      </c>
      <c r="K23" s="11">
        <f>150*11</f>
        <v>1650</v>
      </c>
      <c r="M23" s="6"/>
      <c r="N23" s="6"/>
      <c r="O23" s="6"/>
    </row>
    <row r="24" spans="1:15" s="4" customFormat="1" ht="15" x14ac:dyDescent="0.2">
      <c r="B24" s="4" t="s">
        <v>42</v>
      </c>
      <c r="C24" s="4" t="s">
        <v>43</v>
      </c>
      <c r="J24" s="11">
        <f>3350*10+9696*2</f>
        <v>52892</v>
      </c>
      <c r="K24" s="11">
        <f>0</f>
        <v>0</v>
      </c>
      <c r="M24" s="6"/>
      <c r="N24" s="6"/>
      <c r="O24" s="6"/>
    </row>
    <row r="25" spans="1:15" s="4" customFormat="1" ht="15.75" x14ac:dyDescent="0.25">
      <c r="A25" s="7" t="s">
        <v>44</v>
      </c>
      <c r="B25" s="16" t="s">
        <v>45</v>
      </c>
      <c r="C25" s="16"/>
      <c r="D25" s="16"/>
      <c r="J25" s="9">
        <f>76890*10+78620*2</f>
        <v>926140</v>
      </c>
      <c r="K25" s="9">
        <f>SUM(K26:K31)</f>
        <v>1266045.73</v>
      </c>
      <c r="M25" s="6"/>
      <c r="N25" s="6"/>
      <c r="O25" s="6"/>
    </row>
    <row r="26" spans="1:15" s="4" customFormat="1" ht="15" x14ac:dyDescent="0.2">
      <c r="B26" s="4" t="s">
        <v>46</v>
      </c>
      <c r="C26" s="10" t="s">
        <v>47</v>
      </c>
      <c r="D26" s="10"/>
      <c r="J26" s="11"/>
      <c r="K26" s="11">
        <f>74648.08+60903.83+645918.31+65594.12</f>
        <v>847064.34000000008</v>
      </c>
      <c r="M26" s="6"/>
      <c r="N26" s="6"/>
      <c r="O26" s="6"/>
    </row>
    <row r="27" spans="1:15" s="4" customFormat="1" ht="15" x14ac:dyDescent="0.2">
      <c r="B27" s="4" t="s">
        <v>48</v>
      </c>
      <c r="C27" s="12" t="s">
        <v>49</v>
      </c>
      <c r="D27" s="12"/>
      <c r="E27" s="12"/>
      <c r="F27" s="12"/>
      <c r="G27" s="12"/>
      <c r="J27" s="11"/>
      <c r="K27" s="11">
        <f>61663.83+62028.38+41920.39+55447.53</f>
        <v>221060.12999999998</v>
      </c>
      <c r="M27" s="6"/>
      <c r="N27" s="6"/>
      <c r="O27" s="6"/>
    </row>
    <row r="28" spans="1:15" s="4" customFormat="1" ht="15" x14ac:dyDescent="0.2">
      <c r="B28" s="4" t="s">
        <v>50</v>
      </c>
      <c r="C28" s="12" t="s">
        <v>51</v>
      </c>
      <c r="D28" s="12"/>
      <c r="E28" s="12"/>
      <c r="F28" s="12"/>
      <c r="G28" s="10"/>
      <c r="H28" s="10"/>
      <c r="J28" s="11"/>
      <c r="K28" s="11">
        <f>17477.73+17734.11+17300.21+30869.21</f>
        <v>83381.259999999995</v>
      </c>
      <c r="M28" s="6"/>
      <c r="N28" s="6"/>
      <c r="O28" s="6"/>
    </row>
    <row r="29" spans="1:15" s="4" customFormat="1" ht="15" x14ac:dyDescent="0.2">
      <c r="B29" s="4" t="s">
        <v>52</v>
      </c>
      <c r="C29" s="15" t="s">
        <v>53</v>
      </c>
      <c r="D29" s="15"/>
      <c r="E29" s="15"/>
      <c r="F29" s="15"/>
      <c r="G29" s="10"/>
      <c r="H29" s="10"/>
      <c r="J29" s="11"/>
      <c r="K29" s="11">
        <f>200*72.7</f>
        <v>14540</v>
      </c>
      <c r="M29" s="6"/>
      <c r="N29" s="6"/>
      <c r="O29" s="6"/>
    </row>
    <row r="30" spans="1:15" s="4" customFormat="1" ht="15" x14ac:dyDescent="0.2">
      <c r="B30" s="4" t="s">
        <v>54</v>
      </c>
      <c r="C30" s="15" t="s">
        <v>55</v>
      </c>
      <c r="D30" s="15"/>
      <c r="E30" s="15"/>
      <c r="F30" s="15"/>
      <c r="G30" s="10"/>
      <c r="H30" s="10"/>
      <c r="J30" s="11"/>
      <c r="K30" s="11">
        <f>20000*5</f>
        <v>100000</v>
      </c>
    </row>
    <row r="31" spans="1:15" s="4" customFormat="1" ht="15" x14ac:dyDescent="0.2">
      <c r="B31" s="4" t="s">
        <v>56</v>
      </c>
      <c r="C31" s="15"/>
      <c r="D31" s="15"/>
      <c r="E31" s="15"/>
      <c r="F31" s="15"/>
      <c r="G31" s="10"/>
      <c r="H31" s="10"/>
      <c r="J31" s="11"/>
      <c r="K31" s="11"/>
    </row>
    <row r="32" spans="1:15" s="4" customFormat="1" ht="15.75" x14ac:dyDescent="0.25">
      <c r="A32" s="7" t="s">
        <v>57</v>
      </c>
      <c r="B32" s="16" t="s">
        <v>58</v>
      </c>
      <c r="C32" s="16"/>
      <c r="D32" s="16"/>
      <c r="J32" s="9">
        <v>0</v>
      </c>
      <c r="K32" s="9">
        <f>K33+K34</f>
        <v>0</v>
      </c>
      <c r="M32" s="6"/>
      <c r="N32" s="6"/>
      <c r="O32" s="6"/>
    </row>
    <row r="33" spans="1:15" s="4" customFormat="1" ht="15.75" x14ac:dyDescent="0.25">
      <c r="A33" s="7"/>
      <c r="B33" s="10" t="s">
        <v>59</v>
      </c>
      <c r="C33" s="10" t="s">
        <v>60</v>
      </c>
      <c r="D33" s="10"/>
      <c r="J33" s="9">
        <v>0</v>
      </c>
      <c r="K33" s="11">
        <v>0</v>
      </c>
      <c r="M33" s="6"/>
      <c r="N33" s="6"/>
      <c r="O33" s="6"/>
    </row>
    <row r="34" spans="1:15" s="4" customFormat="1" ht="15.75" x14ac:dyDescent="0.25">
      <c r="A34" s="7"/>
      <c r="B34" s="10" t="s">
        <v>61</v>
      </c>
      <c r="C34" s="10" t="s">
        <v>62</v>
      </c>
      <c r="D34" s="10"/>
      <c r="J34" s="11">
        <f>J33*0.302</f>
        <v>0</v>
      </c>
      <c r="K34" s="11">
        <f>K33*0.302</f>
        <v>0</v>
      </c>
    </row>
    <row r="35" spans="1:15" s="4" customFormat="1" ht="15.75" x14ac:dyDescent="0.25">
      <c r="A35" s="7"/>
      <c r="B35" s="10"/>
      <c r="C35" s="10"/>
      <c r="D35" s="10"/>
      <c r="J35" s="9"/>
      <c r="K35" s="11"/>
      <c r="M35" s="6"/>
      <c r="N35" s="6"/>
      <c r="O35" s="6"/>
    </row>
    <row r="36" spans="1:15" s="4" customFormat="1" ht="15.75" x14ac:dyDescent="0.25">
      <c r="A36" s="7" t="s">
        <v>63</v>
      </c>
      <c r="B36" s="8" t="s">
        <v>64</v>
      </c>
      <c r="C36" s="8"/>
      <c r="D36" s="8"/>
      <c r="E36" s="8"/>
      <c r="J36" s="9">
        <f>44700*12</f>
        <v>536400</v>
      </c>
      <c r="K36" s="9">
        <f>151293.27+126605.55+143213.46+45814.45+91596.42</f>
        <v>558523.15</v>
      </c>
      <c r="M36" s="6"/>
      <c r="N36" s="6"/>
      <c r="O36" s="6"/>
    </row>
    <row r="37" spans="1:15" s="4" customFormat="1" ht="15" x14ac:dyDescent="0.2">
      <c r="J37" s="11"/>
      <c r="K37" s="11"/>
      <c r="M37" s="6"/>
      <c r="N37" s="6"/>
      <c r="O37" s="6"/>
    </row>
    <row r="38" spans="1:15" s="4" customFormat="1" ht="15.75" x14ac:dyDescent="0.25">
      <c r="A38" s="7" t="s">
        <v>65</v>
      </c>
      <c r="B38" s="8" t="s">
        <v>66</v>
      </c>
      <c r="C38" s="8"/>
      <c r="D38" s="8"/>
      <c r="E38" s="8"/>
      <c r="F38" s="8"/>
      <c r="J38" s="9">
        <f>78470*10+98470*2</f>
        <v>981640</v>
      </c>
      <c r="K38" s="9">
        <f>257387.27+264437.49+239664.15+83066.88+181098.83</f>
        <v>1025654.62</v>
      </c>
      <c r="M38" s="6"/>
      <c r="N38" s="6"/>
      <c r="O38" s="6"/>
    </row>
    <row r="39" spans="1:15" s="4" customFormat="1" ht="15" x14ac:dyDescent="0.2">
      <c r="J39" s="11"/>
      <c r="K39" s="11"/>
      <c r="M39" s="6"/>
      <c r="N39" s="6"/>
      <c r="O39" s="6"/>
    </row>
    <row r="40" spans="1:15" s="4" customFormat="1" ht="15.75" x14ac:dyDescent="0.25">
      <c r="A40" s="7" t="s">
        <v>67</v>
      </c>
      <c r="B40" s="7" t="s">
        <v>68</v>
      </c>
      <c r="J40" s="9">
        <f>6740*12</f>
        <v>80880</v>
      </c>
      <c r="K40" s="9">
        <f>70571.2+1244.61+35.36+0</f>
        <v>71851.17</v>
      </c>
      <c r="M40" s="6"/>
      <c r="N40" s="6"/>
      <c r="O40" s="6"/>
    </row>
    <row r="41" spans="1:15" s="4" customFormat="1" ht="15.75" x14ac:dyDescent="0.25">
      <c r="B41" s="7"/>
      <c r="J41" s="9"/>
      <c r="K41" s="9"/>
      <c r="L41" s="17"/>
      <c r="M41" s="6"/>
      <c r="N41" s="6"/>
      <c r="O41" s="6"/>
    </row>
    <row r="42" spans="1:15" s="7" customFormat="1" ht="15.75" x14ac:dyDescent="0.25">
      <c r="A42" s="7" t="s">
        <v>69</v>
      </c>
      <c r="B42" s="7" t="s">
        <v>70</v>
      </c>
      <c r="J42" s="9">
        <f>58590*10+60630*2</f>
        <v>707160</v>
      </c>
      <c r="K42" s="9">
        <f>175640.94+175640.94+174788.66+181890.54</f>
        <v>707961.08000000007</v>
      </c>
      <c r="M42" s="18"/>
      <c r="N42" s="18"/>
      <c r="O42" s="18"/>
    </row>
    <row r="43" spans="1:15" s="4" customFormat="1" ht="15.75" x14ac:dyDescent="0.25">
      <c r="B43" s="7" t="s">
        <v>71</v>
      </c>
      <c r="J43" s="9">
        <f>J4+J11+J20+J25+J33+J36+J38+J40+J42</f>
        <v>5220304.97</v>
      </c>
      <c r="K43" s="9">
        <f>K4+K11+K20+K25+K32+K36+K38+K40+K42</f>
        <v>5563623.1099999994</v>
      </c>
      <c r="M43" s="6"/>
      <c r="N43" s="6"/>
      <c r="O43" s="6"/>
    </row>
    <row r="44" spans="1:15" s="4" customFormat="1" ht="15.75" x14ac:dyDescent="0.25">
      <c r="B44" s="7" t="s">
        <v>72</v>
      </c>
      <c r="J44" s="11">
        <f>ROUND(J43*7/100,2)</f>
        <v>365421.35</v>
      </c>
      <c r="K44" s="11">
        <f>ROUND(K43*7/100,2)</f>
        <v>389453.62</v>
      </c>
      <c r="M44" s="6"/>
      <c r="N44" s="6"/>
      <c r="O44" s="6"/>
    </row>
    <row r="45" spans="1:15" s="4" customFormat="1" ht="15.75" x14ac:dyDescent="0.25">
      <c r="B45" s="8" t="s">
        <v>73</v>
      </c>
      <c r="C45" s="8"/>
      <c r="D45" s="8"/>
      <c r="J45" s="9">
        <f>SUM(J43:J44)</f>
        <v>5585726.3199999994</v>
      </c>
      <c r="K45" s="9">
        <f>SUM(K43:K44)</f>
        <v>5953076.7299999995</v>
      </c>
      <c r="M45" s="6"/>
      <c r="N45" s="6"/>
      <c r="O45" s="6"/>
    </row>
    <row r="46" spans="1:15" s="4" customFormat="1" ht="15.75" x14ac:dyDescent="0.25">
      <c r="B46" s="19"/>
      <c r="C46" s="19"/>
      <c r="D46" s="19"/>
      <c r="J46" s="9"/>
      <c r="K46" s="9"/>
      <c r="M46" s="6"/>
      <c r="N46" s="6"/>
      <c r="O46" s="6"/>
    </row>
    <row r="47" spans="1:15" s="7" customFormat="1" ht="15.75" x14ac:dyDescent="0.25">
      <c r="A47" s="8" t="s">
        <v>74</v>
      </c>
      <c r="B47" s="8"/>
      <c r="C47" s="8"/>
      <c r="D47" s="8"/>
      <c r="J47" s="9"/>
      <c r="K47" s="9">
        <f>1379072.42+1379072.07+1385597.91+1357078.55</f>
        <v>5500820.9500000002</v>
      </c>
      <c r="M47" s="18"/>
      <c r="N47" s="18"/>
      <c r="O47" s="18"/>
    </row>
    <row r="48" spans="1:15" s="7" customFormat="1" ht="15.75" x14ac:dyDescent="0.25">
      <c r="A48" s="8" t="s">
        <v>75</v>
      </c>
      <c r="B48" s="8"/>
      <c r="C48" s="8"/>
      <c r="D48" s="8"/>
      <c r="E48" s="8"/>
      <c r="F48" s="8"/>
      <c r="J48" s="9"/>
      <c r="K48" s="9">
        <f>1275656.43+1277574.8+1318322.33+1336664.65</f>
        <v>5208218.21</v>
      </c>
      <c r="M48" s="18"/>
      <c r="N48" s="18"/>
      <c r="O48" s="18"/>
    </row>
    <row r="49" spans="1:15" s="4" customFormat="1" ht="15.75" x14ac:dyDescent="0.25">
      <c r="A49" s="7" t="s">
        <v>76</v>
      </c>
      <c r="K49" s="20">
        <f>25370.55+22538.51+18666.47+25902.79</f>
        <v>92478.32</v>
      </c>
      <c r="M49" s="6"/>
      <c r="N49" s="6"/>
      <c r="O49" s="6"/>
    </row>
    <row r="50" spans="1:15" s="4" customFormat="1" ht="15.75" x14ac:dyDescent="0.25">
      <c r="A50" s="7" t="s">
        <v>77</v>
      </c>
      <c r="K50" s="21">
        <f>K48+K49-K45</f>
        <v>-652380.19999999925</v>
      </c>
      <c r="M50" s="6"/>
      <c r="N50" s="6"/>
      <c r="O50" s="6"/>
    </row>
    <row r="51" spans="1:15" s="4" customFormat="1" ht="15.75" x14ac:dyDescent="0.25">
      <c r="A51" s="7"/>
      <c r="M51" s="6"/>
      <c r="N51" s="6"/>
      <c r="O51" s="6"/>
    </row>
    <row r="52" spans="1:15" s="4" customFormat="1" ht="15" x14ac:dyDescent="0.2">
      <c r="B52" s="4" t="s">
        <v>78</v>
      </c>
      <c r="J52" s="4" t="s">
        <v>79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80</v>
      </c>
      <c r="I54" s="22"/>
      <c r="J54" s="4" t="s">
        <v>81</v>
      </c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5:D45"/>
    <mergeCell ref="A47:D47"/>
    <mergeCell ref="A48:F48"/>
    <mergeCell ref="C21:G21"/>
    <mergeCell ref="C22:G22"/>
    <mergeCell ref="C27:G27"/>
    <mergeCell ref="C28:F28"/>
    <mergeCell ref="B36:E36"/>
    <mergeCell ref="B38:F38"/>
    <mergeCell ref="C12:D12"/>
    <mergeCell ref="C13:E13"/>
    <mergeCell ref="C14:F14"/>
    <mergeCell ref="C15:H15"/>
    <mergeCell ref="C16:F16"/>
    <mergeCell ref="B20:H20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2020-02-05T10:29:01Z</dcterms:created>
  <dcterms:modified xsi:type="dcterms:W3CDTF">2020-02-05T10:33:39Z</dcterms:modified>
</cp:coreProperties>
</file>