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50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29" i="1"/>
  <c r="K28" i="1"/>
  <c r="K27" i="1"/>
  <c r="K26" i="1"/>
  <c r="K25" i="1"/>
  <c r="J25" i="1"/>
  <c r="K20" i="1"/>
  <c r="J20" i="1"/>
  <c r="K19" i="1"/>
  <c r="K11" i="1" s="1"/>
  <c r="J19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J44" i="1" l="1"/>
  <c r="J45" i="1" s="1"/>
  <c r="K45" i="1"/>
  <c r="K50" i="1" s="1"/>
  <c r="K44" i="1"/>
</calcChain>
</file>

<file path=xl/sharedStrings.xml><?xml version="1.0" encoding="utf-8"?>
<sst xmlns="http://schemas.openxmlformats.org/spreadsheetml/2006/main" count="79" uniqueCount="79">
  <si>
    <t xml:space="preserve">ОТЧЁТ по расходам на обслуживание </t>
  </si>
  <si>
    <t xml:space="preserve"> д.50 корп. 1 по ул. Новоселов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</si>
  <si>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</si>
  <si>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</si>
  <si>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</si>
  <si>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</si>
  <si>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</si>
  <si>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</si>
  <si>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</si>
  <si>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</si>
  <si>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</si>
  <si>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</si>
  <si>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</si>
  <si>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</si>
  <si>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</si>
  <si>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</si>
  <si>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</si>
  <si>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</si>
  <si>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</si>
  <si>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</si>
  <si>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</si>
  <si>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</si>
  <si>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</si>
  <si>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</si>
  <si>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</si>
  <si>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</si>
  <si>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</si>
  <si>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</si>
  <si>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</si>
  <si>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</si>
  <si>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</si>
  <si>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</si>
  <si>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</si>
  <si>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</si>
  <si>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</si>
  <si>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</si>
  <si>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</si>
  <si>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</si>
  <si>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</si>
  <si>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</si>
  <si>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</si>
  <si>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</si>
  <si>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</si>
  <si>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</si>
  <si>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</si>
  <si>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</si>
  <si>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</si>
  <si>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</si>
  <si>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</si>
  <si>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</si>
  <si>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</si>
  <si>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</si>
  <si>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</si>
  <si>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</si>
  <si>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</si>
  <si>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</si>
  <si>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</si>
  <si>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</si>
  <si>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</si>
  <si>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</si>
  <si>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</si>
  <si>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</si>
  <si>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</si>
  <si>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</si>
  <si>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</si>
  <si>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</si>
  <si>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</si>
  <si>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</si>
  <si>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</si>
  <si>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</si>
  <si>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</si>
  <si>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</si>
  <si>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</si>
  <si>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</si>
  <si>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</si>
  <si>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</si>
  <si>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</si>
  <si>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</si>
  <si>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Рыбин А.Ю.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</si>
</sst>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4" fontId="2" fillId="0" borderId="0" xfId="0" quotePrefix="1" applyNumberFormat="1" applyFont="1"/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topLeftCell="A16" workbookViewId="0">
      <selection activeCell="K39" sqref="K3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5703125" bestFit="1" customWidth="1"/>
    <col min="13" max="13" width="16.5703125" style="23" customWidth="1"/>
    <col min="14" max="14" width="12.42578125" style="23" customWidth="1"/>
    <col min="15" max="15" width="9.140625" style="23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184284.74</v>
      </c>
      <c r="K4" s="9">
        <f>SUM(K5:K9)</f>
        <v>192900.68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10514*12</f>
        <v>126168</v>
      </c>
      <c r="K5" s="11">
        <f>30263.15+29068.84+41153.91+30022.48</f>
        <v>130508.38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38102.74</v>
      </c>
      <c r="K6" s="13">
        <f>ROUND(K5*30.2/100,2)</f>
        <v>39413.53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288*10+433*2</f>
        <v>3746</v>
      </c>
      <c r="K7" s="11">
        <f>2737.07+226.35+550.08+2259.24</f>
        <v>5772.74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1254*10</f>
        <v>12540</v>
      </c>
      <c r="K8" s="11">
        <f>4632.39+2848.45+3600.87+1081.04</f>
        <v>12162.75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269*10+519*2</f>
        <v>3728</v>
      </c>
      <c r="K9" s="11">
        <f>2716.17+479.38+65.11+1782.62</f>
        <v>5043.2800000000007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134930</v>
      </c>
      <c r="K11" s="9">
        <f>SUM(K12:K19)</f>
        <v>153258.61000000002</v>
      </c>
      <c r="M11" s="6"/>
      <c r="N11" s="6"/>
      <c r="O11" s="6"/>
    </row>
    <row r="12" spans="1:15" s="4" customFormat="1" ht="15" x14ac:dyDescent="0.2">
      <c r="B12" s="15" t="s">
        <v>18</v>
      </c>
      <c r="C12" s="12" t="s">
        <v>19</v>
      </c>
      <c r="D12" s="12"/>
      <c r="E12" s="15"/>
      <c r="F12" s="15"/>
      <c r="J12" s="11">
        <f>3511*10</f>
        <v>35110</v>
      </c>
      <c r="K12" s="11">
        <f>13259.03+8622.82+9236.45+3363.61</f>
        <v>34481.909999999996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3690*10</f>
        <v>36900</v>
      </c>
      <c r="K13" s="11">
        <f>10899.79+13229.67+14601.54+5389.44</f>
        <v>44120.44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289*10+303*2</f>
        <v>3496</v>
      </c>
      <c r="K14" s="11">
        <f>880.74+880.74+880.74+880.74</f>
        <v>3522.96</v>
      </c>
      <c r="M14" s="1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1580*10+1883*2</f>
        <v>19566</v>
      </c>
      <c r="K15" s="11">
        <f>5499.61+5906.32+5780.8+4956.57</f>
        <v>22143.3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1988*12</f>
        <v>23856</v>
      </c>
      <c r="K16" s="11">
        <f>23850</f>
        <v>23850</v>
      </c>
      <c r="M16" s="6"/>
      <c r="N16" s="6"/>
      <c r="O16" s="6"/>
    </row>
    <row r="17" spans="1:15" s="4" customFormat="1" ht="15" x14ac:dyDescent="0.2">
      <c r="B17" s="4" t="s">
        <v>28</v>
      </c>
      <c r="C17" s="15" t="s">
        <v>29</v>
      </c>
      <c r="D17" s="15"/>
      <c r="E17" s="15"/>
      <c r="F17" s="15"/>
      <c r="J17" s="11">
        <f>141*12</f>
        <v>1692</v>
      </c>
      <c r="K17" s="11">
        <f>0</f>
        <v>0</v>
      </c>
    </row>
    <row r="18" spans="1:15" s="4" customFormat="1" ht="15" x14ac:dyDescent="0.2">
      <c r="B18" s="4" t="s">
        <v>30</v>
      </c>
      <c r="C18" s="15" t="s">
        <v>31</v>
      </c>
      <c r="D18" s="15"/>
      <c r="E18" s="15"/>
      <c r="F18" s="15"/>
      <c r="J18" s="11">
        <f>1417*10</f>
        <v>14170</v>
      </c>
      <c r="K18" s="11">
        <v>24300</v>
      </c>
    </row>
    <row r="19" spans="1:15" s="4" customFormat="1" ht="15" x14ac:dyDescent="0.2">
      <c r="B19" s="4" t="s">
        <v>32</v>
      </c>
      <c r="C19" s="15" t="s">
        <v>33</v>
      </c>
      <c r="D19" s="15"/>
      <c r="E19" s="15"/>
      <c r="F19" s="15"/>
      <c r="J19" s="11">
        <f>70*2</f>
        <v>140</v>
      </c>
      <c r="K19" s="11">
        <f>140*6</f>
        <v>840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SUM(J21:J23)</f>
        <v>0</v>
      </c>
      <c r="K20" s="9">
        <f>SUM(K21:K23)</f>
        <v>0</v>
      </c>
      <c r="M20" s="6"/>
      <c r="N20" s="6"/>
      <c r="O20" s="6"/>
    </row>
    <row r="21" spans="1:15" s="4" customFormat="1" ht="15" x14ac:dyDescent="0.2">
      <c r="B21" s="15" t="s">
        <v>36</v>
      </c>
      <c r="C21" s="12" t="s">
        <v>37</v>
      </c>
      <c r="D21" s="12"/>
      <c r="E21" s="12"/>
      <c r="F21" s="12"/>
      <c r="G21" s="12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15" t="s">
        <v>38</v>
      </c>
      <c r="C22" s="12" t="s">
        <v>39</v>
      </c>
      <c r="D22" s="12"/>
      <c r="E22" s="12"/>
      <c r="F22" s="12"/>
      <c r="G22" s="12"/>
      <c r="H22" s="10"/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v>0</v>
      </c>
      <c r="K23" s="11">
        <v>0</v>
      </c>
      <c r="M23" s="6"/>
      <c r="N23" s="6"/>
      <c r="O23" s="6"/>
    </row>
    <row r="24" spans="1:15" s="4" customFormat="1" ht="15" x14ac:dyDescent="0.2">
      <c r="J24" s="11"/>
      <c r="K24" s="11"/>
      <c r="M24" s="6"/>
      <c r="N24" s="6"/>
      <c r="O24" s="6"/>
    </row>
    <row r="25" spans="1:15" s="4" customFormat="1" ht="15.75" x14ac:dyDescent="0.25">
      <c r="A25" s="7" t="s">
        <v>42</v>
      </c>
      <c r="B25" s="17" t="s">
        <v>43</v>
      </c>
      <c r="C25" s="17"/>
      <c r="D25" s="17"/>
      <c r="J25" s="9">
        <f>18850*12</f>
        <v>226200</v>
      </c>
      <c r="K25" s="9">
        <f>SUM(K26:K29)</f>
        <v>150981.04</v>
      </c>
      <c r="M25" s="6"/>
      <c r="N25" s="6"/>
      <c r="O25" s="6"/>
    </row>
    <row r="26" spans="1:15" s="4" customFormat="1" ht="15" x14ac:dyDescent="0.2">
      <c r="B26" s="4" t="s">
        <v>44</v>
      </c>
      <c r="C26" s="10" t="s">
        <v>45</v>
      </c>
      <c r="D26" s="10"/>
      <c r="J26" s="11"/>
      <c r="K26" s="11">
        <f>0+40824.81+32583.3+5889.05</f>
        <v>79297.16</v>
      </c>
      <c r="M26" s="6"/>
      <c r="N26" s="6"/>
      <c r="O26" s="6"/>
    </row>
    <row r="27" spans="1:15" s="4" customFormat="1" ht="15" x14ac:dyDescent="0.2">
      <c r="B27" s="4" t="s">
        <v>46</v>
      </c>
      <c r="C27" s="12" t="s">
        <v>47</v>
      </c>
      <c r="D27" s="12"/>
      <c r="E27" s="12"/>
      <c r="F27" s="12"/>
      <c r="G27" s="12"/>
      <c r="J27" s="11"/>
      <c r="K27" s="11">
        <f>14892.48+12343.86+12440.13+13838.41</f>
        <v>53514.880000000005</v>
      </c>
      <c r="M27" s="6"/>
      <c r="N27" s="6"/>
      <c r="O27" s="6"/>
    </row>
    <row r="28" spans="1:15" s="4" customFormat="1" ht="15" x14ac:dyDescent="0.2">
      <c r="B28" s="4" t="s">
        <v>48</v>
      </c>
      <c r="C28" s="12" t="s">
        <v>49</v>
      </c>
      <c r="D28" s="12"/>
      <c r="E28" s="12"/>
      <c r="F28" s="12"/>
      <c r="G28" s="10"/>
      <c r="H28" s="10"/>
      <c r="J28" s="11"/>
      <c r="K28" s="11">
        <f>3422.76+3472.97+3387.99+6045.28</f>
        <v>16329</v>
      </c>
      <c r="M28" s="6"/>
      <c r="N28" s="6"/>
      <c r="O28" s="6"/>
    </row>
    <row r="29" spans="1:15" s="4" customFormat="1" ht="15" x14ac:dyDescent="0.2">
      <c r="B29" s="4" t="s">
        <v>50</v>
      </c>
      <c r="C29" s="15" t="s">
        <v>51</v>
      </c>
      <c r="D29" s="15"/>
      <c r="E29" s="15"/>
      <c r="F29" s="15"/>
      <c r="G29" s="10"/>
      <c r="H29" s="10"/>
      <c r="J29" s="11"/>
      <c r="K29" s="11">
        <f>200*9.2</f>
        <v>1839.9999999999998</v>
      </c>
      <c r="M29" s="6"/>
      <c r="N29" s="6"/>
      <c r="O29" s="6"/>
    </row>
    <row r="30" spans="1:15" s="4" customFormat="1" ht="15" x14ac:dyDescent="0.2">
      <c r="B30" s="4" t="s">
        <v>52</v>
      </c>
      <c r="C30" s="15"/>
      <c r="D30" s="15"/>
      <c r="E30" s="15"/>
      <c r="F30" s="15"/>
      <c r="G30" s="10"/>
      <c r="H30" s="10"/>
      <c r="J30" s="11"/>
      <c r="K30" s="11"/>
      <c r="M30" s="6"/>
      <c r="N30" s="6"/>
      <c r="O30" s="6"/>
    </row>
    <row r="31" spans="1:15" s="4" customFormat="1" ht="15" x14ac:dyDescent="0.2">
      <c r="B31" s="4" t="s">
        <v>53</v>
      </c>
      <c r="C31" s="15"/>
      <c r="D31" s="15"/>
      <c r="E31" s="15"/>
      <c r="F31" s="15"/>
      <c r="G31" s="10"/>
      <c r="H31" s="10"/>
      <c r="J31" s="11"/>
      <c r="K31" s="11"/>
      <c r="M31" s="6"/>
      <c r="N31" s="6"/>
      <c r="O31" s="6"/>
    </row>
    <row r="32" spans="1:15" s="4" customFormat="1" ht="15.75" x14ac:dyDescent="0.25">
      <c r="A32" s="7" t="s">
        <v>54</v>
      </c>
      <c r="B32" s="17" t="s">
        <v>55</v>
      </c>
      <c r="C32" s="17"/>
      <c r="D32" s="17"/>
      <c r="J32" s="9">
        <v>0</v>
      </c>
      <c r="K32" s="9">
        <f>K33+K34</f>
        <v>0</v>
      </c>
      <c r="M32" s="6"/>
      <c r="N32" s="6"/>
      <c r="O32" s="6"/>
    </row>
    <row r="33" spans="1:15" s="4" customFormat="1" ht="15.75" x14ac:dyDescent="0.25">
      <c r="A33" s="7"/>
      <c r="B33" s="10" t="s">
        <v>56</v>
      </c>
      <c r="C33" s="10" t="s">
        <v>57</v>
      </c>
      <c r="D33" s="10"/>
      <c r="J33" s="9">
        <v>0</v>
      </c>
      <c r="K33" s="11">
        <v>0</v>
      </c>
      <c r="M33" s="6"/>
      <c r="N33" s="6"/>
      <c r="O33" s="6"/>
    </row>
    <row r="34" spans="1:15" s="4" customFormat="1" ht="15.75" x14ac:dyDescent="0.25">
      <c r="A34" s="7"/>
      <c r="B34" s="10" t="s">
        <v>58</v>
      </c>
      <c r="C34" s="10" t="s">
        <v>59</v>
      </c>
      <c r="D34" s="10"/>
      <c r="J34" s="11">
        <f>J33*0.302</f>
        <v>0</v>
      </c>
      <c r="K34" s="11">
        <f>K33*0.302</f>
        <v>0</v>
      </c>
    </row>
    <row r="35" spans="1:15" s="4" customFormat="1" ht="15" x14ac:dyDescent="0.2">
      <c r="J35" s="11"/>
      <c r="K35" s="11"/>
      <c r="M35" s="6"/>
      <c r="N35" s="6"/>
      <c r="O35" s="6"/>
    </row>
    <row r="36" spans="1:15" s="4" customFormat="1" ht="15.75" x14ac:dyDescent="0.25">
      <c r="A36" s="7" t="s">
        <v>60</v>
      </c>
      <c r="B36" s="8" t="s">
        <v>61</v>
      </c>
      <c r="C36" s="8"/>
      <c r="D36" s="8"/>
      <c r="E36" s="8"/>
      <c r="J36" s="9">
        <f>4390*10+6160*2</f>
        <v>56220</v>
      </c>
      <c r="K36" s="9">
        <f>14806.92+12252.27+14016.16+4483.81+13000.17</f>
        <v>58559.33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62</v>
      </c>
      <c r="B38" s="8" t="s">
        <v>63</v>
      </c>
      <c r="C38" s="8"/>
      <c r="D38" s="8"/>
      <c r="E38" s="8"/>
      <c r="F38" s="8"/>
      <c r="J38" s="9">
        <f>9420*10+14420*2</f>
        <v>123040</v>
      </c>
      <c r="K38" s="9">
        <f>30947.5+31714.7+28710.83+9951.09+26580.63</f>
        <v>127904.75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64</v>
      </c>
      <c r="B40" s="7" t="s">
        <v>65</v>
      </c>
      <c r="J40" s="9">
        <f>1320*12</f>
        <v>15840</v>
      </c>
      <c r="K40" s="9">
        <f>13820.34+243.74+6.92+0</f>
        <v>14071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66</v>
      </c>
      <c r="B42" s="7" t="s">
        <v>67</v>
      </c>
      <c r="J42" s="9">
        <f>7940*10+8220*2</f>
        <v>95840</v>
      </c>
      <c r="K42" s="9">
        <f>23764.44+23764.44+23156.17+24645.42</f>
        <v>95330.469999999987</v>
      </c>
      <c r="M42" s="18"/>
      <c r="N42" s="18"/>
      <c r="O42" s="18"/>
    </row>
    <row r="43" spans="1:15" s="4" customFormat="1" ht="15.75" x14ac:dyDescent="0.25">
      <c r="B43" s="7" t="s">
        <v>68</v>
      </c>
      <c r="J43" s="9">
        <f>J4+J11+J20+J25+J32+J36+J38+J40+J42</f>
        <v>836354.74</v>
      </c>
      <c r="K43" s="9">
        <f>K4+K11+K20+K25+K32+K36+K38+K40+K42</f>
        <v>793005.88</v>
      </c>
      <c r="M43" s="6"/>
      <c r="N43" s="6"/>
      <c r="O43" s="6"/>
    </row>
    <row r="44" spans="1:15" s="4" customFormat="1" ht="15.75" x14ac:dyDescent="0.25">
      <c r="B44" s="7" t="s">
        <v>69</v>
      </c>
      <c r="J44" s="11">
        <f>ROUND(J43*7/100,2)</f>
        <v>58544.83</v>
      </c>
      <c r="K44" s="11">
        <f>ROUND(K43*7/100,2)</f>
        <v>55510.41</v>
      </c>
      <c r="M44" s="6"/>
      <c r="N44" s="6"/>
      <c r="O44" s="6"/>
    </row>
    <row r="45" spans="1:15" s="4" customFormat="1" ht="15.75" x14ac:dyDescent="0.25">
      <c r="B45" s="8" t="s">
        <v>70</v>
      </c>
      <c r="C45" s="8"/>
      <c r="D45" s="8"/>
      <c r="J45" s="9">
        <f>SUM(J43:J44)</f>
        <v>894899.57</v>
      </c>
      <c r="K45" s="9">
        <f>SUM(K43:K44)</f>
        <v>848516.29</v>
      </c>
      <c r="M45" s="6"/>
      <c r="N45" s="6"/>
      <c r="O45" s="6"/>
    </row>
    <row r="46" spans="1:15" s="4" customFormat="1" ht="15.75" x14ac:dyDescent="0.25">
      <c r="B46" s="19"/>
      <c r="C46" s="19"/>
      <c r="D46" s="19"/>
      <c r="J46" s="9"/>
      <c r="K46" s="9"/>
      <c r="M46" s="6"/>
      <c r="N46" s="6"/>
      <c r="O46" s="6"/>
    </row>
    <row r="47" spans="1:15" s="7" customFormat="1" ht="15.75" x14ac:dyDescent="0.25">
      <c r="A47" s="8" t="s">
        <v>71</v>
      </c>
      <c r="B47" s="8"/>
      <c r="C47" s="8"/>
      <c r="D47" s="8"/>
      <c r="J47" s="9"/>
      <c r="K47" s="9">
        <f>220312.73+220312.62+221164.32+215107.68</f>
        <v>876897.34999999986</v>
      </c>
      <c r="M47" s="18"/>
      <c r="N47" s="18"/>
      <c r="O47" s="18"/>
    </row>
    <row r="48" spans="1:15" s="7" customFormat="1" ht="15.75" x14ac:dyDescent="0.25">
      <c r="A48" s="8" t="s">
        <v>72</v>
      </c>
      <c r="B48" s="8"/>
      <c r="C48" s="8"/>
      <c r="D48" s="8"/>
      <c r="E48" s="8"/>
      <c r="F48" s="8"/>
      <c r="J48" s="9"/>
      <c r="K48" s="9">
        <f>194509.42+210552.79+200843.3+216831.98</f>
        <v>822737.49</v>
      </c>
      <c r="M48" s="18"/>
      <c r="N48" s="18"/>
      <c r="O48" s="18"/>
    </row>
    <row r="49" spans="1:15" s="4" customFormat="1" ht="15.75" x14ac:dyDescent="0.25">
      <c r="A49" s="7" t="s">
        <v>73</v>
      </c>
      <c r="K49" s="20">
        <f>4089.25+3792.36+2764.03+4320.06</f>
        <v>14965.7</v>
      </c>
      <c r="M49" s="6"/>
      <c r="N49" s="6"/>
      <c r="O49" s="6"/>
    </row>
    <row r="50" spans="1:15" s="4" customFormat="1" ht="15.75" x14ac:dyDescent="0.25">
      <c r="A50" s="7" t="s">
        <v>74</v>
      </c>
      <c r="K50" s="21">
        <f>K48+K49-K45</f>
        <v>-10813.100000000093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75</v>
      </c>
      <c r="J52" s="4" t="s">
        <v>76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77</v>
      </c>
      <c r="I54" s="22"/>
      <c r="J54" s="4" t="s">
        <v>78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2020-02-05T10:31:16Z</dcterms:created>
  <dcterms:modified xsi:type="dcterms:W3CDTF">2020-02-05T10:36:31Z</dcterms:modified>
</cp:coreProperties>
</file>