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54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J34" i="1"/>
  <c r="K33" i="1"/>
  <c r="K34" i="1" s="1"/>
  <c r="K32" i="1" s="1"/>
  <c r="K28" i="1"/>
  <c r="K27" i="1"/>
  <c r="K26" i="1"/>
  <c r="K25" i="1"/>
  <c r="J25" i="1"/>
  <c r="K23" i="1"/>
  <c r="J23" i="1"/>
  <c r="K22" i="1"/>
  <c r="J22" i="1"/>
  <c r="K21" i="1"/>
  <c r="J21" i="1"/>
  <c r="K20" i="1"/>
  <c r="J20" i="1"/>
  <c r="K19" i="1"/>
  <c r="K11" i="1" s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4" i="1" l="1"/>
  <c r="J45" i="1" s="1"/>
  <c r="K44" i="1"/>
  <c r="K45" i="1" s="1"/>
  <c r="K50" i="1" s="1"/>
</calcChain>
</file>

<file path=xl/sharedStrings.xml><?xml version="1.0" encoding="utf-8"?>
<sst xmlns="http://schemas.openxmlformats.org/spreadsheetml/2006/main" count="82" uniqueCount="82">
  <si>
    <t xml:space="preserve">ОТЧЁТ по расходам на обслуживание </t>
  </si>
  <si>
    <t xml:space="preserve"> д.54 корп. 2 по ул. Новоселов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</si>
  <si>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</si>
  <si>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</si>
  <si>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</si>
  <si>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</si>
  <si>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</si>
  <si>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</si>
  <si>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</si>
  <si>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</si>
  <si>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</si>
  <si>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</si>
  <si>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</si>
  <si>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</si>
  <si>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</si>
  <si>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</si>
  <si>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1.6.</t>
  </si>
  <si>
    <t>Услуга гидроподъемника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</si>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</sst>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workbookViewId="0">
      <selection activeCell="K5" sqref="K5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" style="23" customWidth="1"/>
    <col min="14" max="14" width="15" style="23" customWidth="1"/>
    <col min="15" max="15" width="9.140625" style="23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437650.81</v>
      </c>
      <c r="K4" s="9">
        <f>SUM(K5:K10)</f>
        <v>413587.19999999995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22817*12</f>
        <v>273804</v>
      </c>
      <c r="K5" s="11">
        <f>59087.43+63004.78+58136.91+74180.61</f>
        <v>254409.72999999998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82688.81</v>
      </c>
      <c r="K6" s="13">
        <f>ROUND(K5*30.2/100,2)</f>
        <v>76831.740000000005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1134*10+1702*2</f>
        <v>14744</v>
      </c>
      <c r="K7" s="11">
        <f>3829.34+1239.69+1635.64+3589.99</f>
        <v>10294.66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5176*10</f>
        <v>51760</v>
      </c>
      <c r="K8" s="11">
        <f>18174.79+11175.7+14127.73+4241.37</f>
        <v>47719.590000000004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1057*10+2042*2</f>
        <v>14654</v>
      </c>
      <c r="K9" s="11">
        <f>10680.69+1885.03+256.03+7009.73</f>
        <v>19831.480000000003</v>
      </c>
      <c r="M9" s="6"/>
      <c r="N9" s="6"/>
      <c r="O9" s="6"/>
    </row>
    <row r="10" spans="1:15" s="4" customFormat="1" ht="15" x14ac:dyDescent="0.2">
      <c r="B10" s="4" t="s">
        <v>16</v>
      </c>
      <c r="C10" s="4" t="s">
        <v>17</v>
      </c>
      <c r="J10" s="11">
        <v>0</v>
      </c>
      <c r="K10" s="11">
        <v>4500</v>
      </c>
      <c r="M10" s="6"/>
      <c r="N10" s="6"/>
      <c r="O10" s="6"/>
    </row>
    <row r="11" spans="1:15" s="4" customFormat="1" ht="15.75" x14ac:dyDescent="0.25">
      <c r="A11" s="7" t="s">
        <v>18</v>
      </c>
      <c r="B11" s="8" t="s">
        <v>19</v>
      </c>
      <c r="C11" s="8"/>
      <c r="D11" s="8"/>
      <c r="E11" s="8"/>
      <c r="F11" s="8"/>
      <c r="J11" s="9">
        <f>SUM(J12:J19)</f>
        <v>522376</v>
      </c>
      <c r="K11" s="9">
        <f>SUM(K12:K19)</f>
        <v>574734.02</v>
      </c>
      <c r="M11" s="6"/>
      <c r="N11" s="6"/>
      <c r="O11" s="6"/>
    </row>
    <row r="12" spans="1:15" s="4" customFormat="1" ht="15" x14ac:dyDescent="0.2">
      <c r="B12" s="15" t="s">
        <v>20</v>
      </c>
      <c r="C12" s="12" t="s">
        <v>21</v>
      </c>
      <c r="D12" s="12"/>
      <c r="E12" s="15"/>
      <c r="F12" s="15"/>
      <c r="J12" s="11">
        <f>14488*10</f>
        <v>144880</v>
      </c>
      <c r="K12" s="11">
        <f>52020.79+33830.99+36238.51+13196.88</f>
        <v>135287.17000000001</v>
      </c>
      <c r="M12" s="6"/>
      <c r="N12" s="6"/>
      <c r="O12" s="6"/>
    </row>
    <row r="13" spans="1:15" s="4" customFormat="1" ht="15" x14ac:dyDescent="0.2">
      <c r="B13" s="4" t="s">
        <v>22</v>
      </c>
      <c r="C13" s="12" t="s">
        <v>23</v>
      </c>
      <c r="D13" s="12"/>
      <c r="E13" s="12"/>
      <c r="J13" s="11">
        <f>15228*10</f>
        <v>152280</v>
      </c>
      <c r="K13" s="11">
        <f>42764.48+51905.61+57288.05+21145.07</f>
        <v>173103.21000000002</v>
      </c>
      <c r="M13" s="6"/>
      <c r="N13" s="6"/>
      <c r="O13" s="6"/>
    </row>
    <row r="14" spans="1:15" s="4" customFormat="1" ht="15" x14ac:dyDescent="0.2">
      <c r="B14" s="4" t="s">
        <v>24</v>
      </c>
      <c r="C14" s="12" t="s">
        <v>25</v>
      </c>
      <c r="D14" s="12"/>
      <c r="E14" s="12"/>
      <c r="F14" s="12"/>
      <c r="J14" s="11">
        <f>570*10+598*2</f>
        <v>6896</v>
      </c>
      <c r="K14" s="11">
        <f>1737.6+1737.6+1737.6+1737.6</f>
        <v>6950.4</v>
      </c>
      <c r="M14" s="6"/>
      <c r="N14" s="6"/>
      <c r="O14" s="6"/>
    </row>
    <row r="15" spans="1:15" s="4" customFormat="1" ht="15" x14ac:dyDescent="0.2">
      <c r="B15" s="4" t="s">
        <v>26</v>
      </c>
      <c r="C15" s="12" t="s">
        <v>27</v>
      </c>
      <c r="D15" s="12"/>
      <c r="E15" s="12"/>
      <c r="F15" s="12"/>
      <c r="G15" s="12"/>
      <c r="H15" s="12"/>
      <c r="J15" s="11">
        <f>6212*10+7403*2</f>
        <v>76926</v>
      </c>
      <c r="K15" s="11">
        <f>21625.89+23225.19+22731.62+19490.54</f>
        <v>87073.239999999991</v>
      </c>
      <c r="M15" s="6"/>
      <c r="N15" s="6"/>
      <c r="O15" s="6"/>
    </row>
    <row r="16" spans="1:15" s="4" customFormat="1" ht="15" x14ac:dyDescent="0.2">
      <c r="B16" s="4" t="s">
        <v>28</v>
      </c>
      <c r="C16" s="12" t="s">
        <v>29</v>
      </c>
      <c r="D16" s="12"/>
      <c r="E16" s="12"/>
      <c r="F16" s="12"/>
      <c r="J16" s="11">
        <f>7067*12</f>
        <v>84804</v>
      </c>
      <c r="K16" s="16">
        <f>84800</f>
        <v>84800</v>
      </c>
      <c r="M16" s="6"/>
      <c r="N16" s="6"/>
      <c r="O16" s="6"/>
    </row>
    <row r="17" spans="1:15" s="4" customFormat="1" ht="15" x14ac:dyDescent="0.2">
      <c r="B17" s="4" t="s">
        <v>30</v>
      </c>
      <c r="C17" s="15" t="s">
        <v>31</v>
      </c>
      <c r="D17" s="15"/>
      <c r="E17" s="15"/>
      <c r="F17" s="15"/>
      <c r="J17" s="11">
        <f>502*12</f>
        <v>6024</v>
      </c>
      <c r="K17" s="11">
        <f>0</f>
        <v>0</v>
      </c>
    </row>
    <row r="18" spans="1:15" s="4" customFormat="1" ht="15" x14ac:dyDescent="0.2">
      <c r="B18" s="4" t="s">
        <v>32</v>
      </c>
      <c r="C18" s="15" t="s">
        <v>33</v>
      </c>
      <c r="D18" s="15"/>
      <c r="E18" s="15"/>
      <c r="F18" s="15"/>
      <c r="J18" s="11">
        <f>5038*10</f>
        <v>50380</v>
      </c>
      <c r="K18" s="11">
        <v>86400</v>
      </c>
    </row>
    <row r="19" spans="1:15" s="4" customFormat="1" ht="15" x14ac:dyDescent="0.2">
      <c r="B19" s="4" t="s">
        <v>34</v>
      </c>
      <c r="C19" s="15" t="s">
        <v>35</v>
      </c>
      <c r="D19" s="15"/>
      <c r="E19" s="15"/>
      <c r="F19" s="15"/>
      <c r="J19" s="11">
        <f>93*2</f>
        <v>186</v>
      </c>
      <c r="K19" s="11">
        <f>140*8</f>
        <v>1120</v>
      </c>
    </row>
    <row r="20" spans="1:15" s="4" customFormat="1" ht="15.75" x14ac:dyDescent="0.25">
      <c r="A20" s="7" t="s">
        <v>36</v>
      </c>
      <c r="B20" s="8" t="s">
        <v>37</v>
      </c>
      <c r="C20" s="8"/>
      <c r="D20" s="8"/>
      <c r="E20" s="8"/>
      <c r="F20" s="8"/>
      <c r="G20" s="8"/>
      <c r="H20" s="8"/>
      <c r="J20" s="9">
        <f>SUM(J21:J24)</f>
        <v>520860</v>
      </c>
      <c r="K20" s="9">
        <f>SUM(K21:K24)</f>
        <v>465132.49</v>
      </c>
      <c r="M20" s="6"/>
      <c r="N20" s="6"/>
      <c r="O20" s="6"/>
    </row>
    <row r="21" spans="1:15" s="4" customFormat="1" ht="15" x14ac:dyDescent="0.2">
      <c r="B21" s="15" t="s">
        <v>38</v>
      </c>
      <c r="C21" s="12" t="s">
        <v>39</v>
      </c>
      <c r="D21" s="12"/>
      <c r="E21" s="12"/>
      <c r="F21" s="12"/>
      <c r="G21" s="12"/>
      <c r="J21" s="11">
        <f>40072*12</f>
        <v>480864</v>
      </c>
      <c r="K21" s="11">
        <f>120216+120216+120216+67788.49</f>
        <v>428436.49</v>
      </c>
      <c r="M21" s="6"/>
      <c r="N21" s="6"/>
      <c r="O21" s="6"/>
    </row>
    <row r="22" spans="1:15" s="4" customFormat="1" ht="15" x14ac:dyDescent="0.2">
      <c r="B22" s="15" t="s">
        <v>40</v>
      </c>
      <c r="C22" s="12" t="s">
        <v>41</v>
      </c>
      <c r="D22" s="12"/>
      <c r="E22" s="12"/>
      <c r="F22" s="12"/>
      <c r="G22" s="12"/>
      <c r="H22" s="10"/>
      <c r="J22" s="11">
        <f>2958*12</f>
        <v>35496</v>
      </c>
      <c r="K22" s="11">
        <f>35496+0+0</f>
        <v>35496</v>
      </c>
      <c r="M22" s="6"/>
      <c r="N22" s="6"/>
      <c r="O22" s="6"/>
    </row>
    <row r="23" spans="1:15" s="4" customFormat="1" ht="15" x14ac:dyDescent="0.2">
      <c r="B23" s="4" t="s">
        <v>42</v>
      </c>
      <c r="C23" s="4" t="s">
        <v>43</v>
      </c>
      <c r="J23" s="11">
        <f>375*12</f>
        <v>4500</v>
      </c>
      <c r="K23" s="11">
        <f>150*8</f>
        <v>1200</v>
      </c>
      <c r="M23" s="6"/>
      <c r="N23" s="6"/>
      <c r="O23" s="6"/>
    </row>
    <row r="24" spans="1:15" s="4" customFormat="1" ht="15" x14ac:dyDescent="0.2">
      <c r="B24" s="4" t="s">
        <v>44</v>
      </c>
      <c r="C24" s="4" t="s">
        <v>45</v>
      </c>
      <c r="J24" s="11">
        <v>0</v>
      </c>
      <c r="K24" s="11"/>
      <c r="M24" s="6"/>
      <c r="N24" s="6"/>
      <c r="O24" s="6"/>
    </row>
    <row r="25" spans="1:15" s="4" customFormat="1" ht="15.75" x14ac:dyDescent="0.25">
      <c r="A25" s="7" t="s">
        <v>46</v>
      </c>
      <c r="B25" s="17" t="s">
        <v>47</v>
      </c>
      <c r="C25" s="17"/>
      <c r="D25" s="17"/>
      <c r="J25" s="9">
        <f>52870*10+62870*2</f>
        <v>654440</v>
      </c>
      <c r="K25" s="9">
        <f>SUM(K26:K30)</f>
        <v>812067.73</v>
      </c>
      <c r="M25" s="6"/>
      <c r="N25" s="6"/>
      <c r="O25" s="6"/>
    </row>
    <row r="26" spans="1:15" s="4" customFormat="1" ht="15" x14ac:dyDescent="0.2">
      <c r="B26" s="4" t="s">
        <v>48</v>
      </c>
      <c r="C26" s="10" t="s">
        <v>49</v>
      </c>
      <c r="D26" s="10"/>
      <c r="J26" s="11"/>
      <c r="K26" s="11">
        <f>18067.56+59659.94+262131.64+248405.84</f>
        <v>588264.98</v>
      </c>
      <c r="M26" s="6"/>
      <c r="N26" s="6"/>
      <c r="O26" s="6"/>
    </row>
    <row r="27" spans="1:15" s="4" customFormat="1" ht="15" x14ac:dyDescent="0.2">
      <c r="B27" s="4" t="s">
        <v>50</v>
      </c>
      <c r="C27" s="12" t="s">
        <v>51</v>
      </c>
      <c r="D27" s="12"/>
      <c r="E27" s="12"/>
      <c r="F27" s="12"/>
      <c r="G27" s="12"/>
      <c r="J27" s="11"/>
      <c r="K27" s="11">
        <f>42413.78+35528.15+41255.72+40395.14</f>
        <v>159592.78999999998</v>
      </c>
      <c r="M27" s="6"/>
      <c r="N27" s="6"/>
      <c r="O27" s="6"/>
    </row>
    <row r="28" spans="1:15" s="4" customFormat="1" ht="15" x14ac:dyDescent="0.2">
      <c r="B28" s="4" t="s">
        <v>52</v>
      </c>
      <c r="C28" s="12" t="s">
        <v>53</v>
      </c>
      <c r="D28" s="12"/>
      <c r="E28" s="12"/>
      <c r="F28" s="12"/>
      <c r="G28" s="10"/>
      <c r="H28" s="10"/>
      <c r="J28" s="11"/>
      <c r="K28" s="11">
        <f>13459.19+13656.62+13322.49+23771.66</f>
        <v>64209.960000000006</v>
      </c>
      <c r="M28" s="6"/>
      <c r="N28" s="6"/>
      <c r="O28" s="6"/>
    </row>
    <row r="29" spans="1:15" s="4" customFormat="1" ht="15" x14ac:dyDescent="0.2">
      <c r="B29" s="4" t="s">
        <v>54</v>
      </c>
      <c r="C29" s="15" t="s">
        <v>55</v>
      </c>
      <c r="D29" s="15"/>
      <c r="E29" s="15"/>
      <c r="F29" s="15"/>
      <c r="G29" s="10"/>
      <c r="H29" s="10"/>
      <c r="J29" s="11"/>
      <c r="K29" s="11"/>
      <c r="M29" s="6"/>
      <c r="N29" s="6"/>
      <c r="O29" s="6"/>
    </row>
    <row r="30" spans="1:15" s="4" customFormat="1" ht="15" x14ac:dyDescent="0.2">
      <c r="B30" s="4" t="s">
        <v>56</v>
      </c>
      <c r="C30" s="15"/>
      <c r="D30" s="15"/>
      <c r="E30" s="15"/>
      <c r="F30" s="15"/>
      <c r="G30" s="10"/>
      <c r="H30" s="10"/>
      <c r="J30" s="11"/>
      <c r="K30" s="11"/>
      <c r="M30" s="6"/>
      <c r="N30" s="6"/>
      <c r="O30" s="6"/>
    </row>
    <row r="31" spans="1:15" s="4" customFormat="1" ht="15" x14ac:dyDescent="0.2">
      <c r="B31" s="4" t="s">
        <v>57</v>
      </c>
      <c r="C31" s="15"/>
      <c r="D31" s="15"/>
      <c r="E31" s="15"/>
      <c r="F31" s="15"/>
      <c r="G31" s="10"/>
      <c r="H31" s="10"/>
      <c r="J31" s="11"/>
      <c r="K31" s="11"/>
      <c r="M31" s="6"/>
      <c r="N31" s="6"/>
      <c r="O31" s="6"/>
    </row>
    <row r="32" spans="1:15" s="4" customFormat="1" ht="15.75" x14ac:dyDescent="0.25">
      <c r="A32" s="7" t="s">
        <v>58</v>
      </c>
      <c r="B32" s="17" t="s">
        <v>59</v>
      </c>
      <c r="C32" s="17"/>
      <c r="D32" s="17"/>
      <c r="J32" s="9">
        <v>0</v>
      </c>
      <c r="K32" s="9">
        <f>K33+K34</f>
        <v>7112.1750000000002</v>
      </c>
      <c r="M32" s="6"/>
      <c r="N32" s="6"/>
      <c r="O32" s="6"/>
    </row>
    <row r="33" spans="1:15" s="4" customFormat="1" ht="15.75" x14ac:dyDescent="0.25">
      <c r="A33" s="7"/>
      <c r="B33" s="10" t="s">
        <v>60</v>
      </c>
      <c r="C33" s="10" t="s">
        <v>61</v>
      </c>
      <c r="D33" s="10"/>
      <c r="J33" s="9">
        <v>0</v>
      </c>
      <c r="K33" s="11">
        <f>5462.5</f>
        <v>5462.5</v>
      </c>
      <c r="M33" s="6"/>
      <c r="N33" s="6"/>
      <c r="O33" s="6"/>
    </row>
    <row r="34" spans="1:15" s="4" customFormat="1" ht="15.75" x14ac:dyDescent="0.25">
      <c r="A34" s="7"/>
      <c r="B34" s="10" t="s">
        <v>62</v>
      </c>
      <c r="C34" s="10" t="s">
        <v>63</v>
      </c>
      <c r="D34" s="10"/>
      <c r="J34" s="11">
        <f>J33*0.302</f>
        <v>0</v>
      </c>
      <c r="K34" s="11">
        <f>K33*0.302</f>
        <v>1649.675</v>
      </c>
    </row>
    <row r="35" spans="1:15" s="4" customFormat="1" ht="15.75" x14ac:dyDescent="0.25">
      <c r="A35" s="7"/>
      <c r="B35" s="17"/>
      <c r="C35" s="17"/>
      <c r="D35" s="17"/>
      <c r="J35" s="9"/>
      <c r="K35" s="9"/>
      <c r="M35" s="6"/>
      <c r="N35" s="6"/>
      <c r="O35" s="6"/>
    </row>
    <row r="36" spans="1:15" s="4" customFormat="1" ht="15.75" x14ac:dyDescent="0.25">
      <c r="A36" s="7" t="s">
        <v>64</v>
      </c>
      <c r="B36" s="8" t="s">
        <v>65</v>
      </c>
      <c r="C36" s="8"/>
      <c r="D36" s="8"/>
      <c r="E36" s="8"/>
      <c r="J36" s="9">
        <f>36350*10+41170*2</f>
        <v>445840</v>
      </c>
      <c r="K36" s="9">
        <f>122992.95+103431.64+116424.52+37244.58+84753.21</f>
        <v>464846.9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66</v>
      </c>
      <c r="B38" s="8" t="s">
        <v>67</v>
      </c>
      <c r="C38" s="8"/>
      <c r="D38" s="8"/>
      <c r="E38" s="8"/>
      <c r="F38" s="8"/>
      <c r="J38" s="9">
        <f>66820*10+81820*2</f>
        <v>831840</v>
      </c>
      <c r="K38" s="9">
        <f>219029.81+225092+204030.14+70716.24+150428.87</f>
        <v>869297.05999999994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68</v>
      </c>
      <c r="B40" s="7" t="s">
        <v>69</v>
      </c>
      <c r="J40" s="9">
        <f>5190*12</f>
        <v>62280</v>
      </c>
      <c r="K40" s="9">
        <f>54345.24+958.44+27.23+0</f>
        <v>55330.91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70</v>
      </c>
      <c r="B42" s="7" t="s">
        <v>71</v>
      </c>
      <c r="J42" s="9">
        <f>44960*10+46540*2</f>
        <v>542680</v>
      </c>
      <c r="K42" s="9">
        <f>134820.84+134820.84+134892.6+139618.08</f>
        <v>544152.36</v>
      </c>
      <c r="M42" s="18"/>
      <c r="N42" s="18"/>
      <c r="O42" s="18"/>
    </row>
    <row r="43" spans="1:15" s="4" customFormat="1" ht="15.75" x14ac:dyDescent="0.25">
      <c r="B43" s="7" t="s">
        <v>72</v>
      </c>
      <c r="J43" s="9">
        <f>J4+J11+J20+J25+J32+J36+J38+J40+J42</f>
        <v>4017966.81</v>
      </c>
      <c r="K43" s="9">
        <f>K4+K11+K20+K25+K32+K36+K38+K40+K42</f>
        <v>4206260.8449999997</v>
      </c>
      <c r="M43" s="6"/>
      <c r="N43" s="6"/>
      <c r="O43" s="6"/>
    </row>
    <row r="44" spans="1:15" s="4" customFormat="1" ht="15.75" x14ac:dyDescent="0.25">
      <c r="B44" s="7" t="s">
        <v>73</v>
      </c>
      <c r="J44" s="11">
        <f>ROUND(J43*7/100,2)</f>
        <v>281257.68</v>
      </c>
      <c r="K44" s="11">
        <f>ROUND(K43*7/100,2)</f>
        <v>294438.26</v>
      </c>
      <c r="M44" s="6"/>
      <c r="N44" s="6"/>
      <c r="O44" s="6"/>
    </row>
    <row r="45" spans="1:15" s="4" customFormat="1" ht="15.75" x14ac:dyDescent="0.25">
      <c r="B45" s="8" t="s">
        <v>74</v>
      </c>
      <c r="C45" s="8"/>
      <c r="D45" s="8"/>
      <c r="J45" s="9">
        <f>SUM(J43:J44)</f>
        <v>4299224.49</v>
      </c>
      <c r="K45" s="9">
        <f>SUM(K43:K44)</f>
        <v>4500699.1049999995</v>
      </c>
      <c r="M45" s="6"/>
      <c r="N45" s="6"/>
      <c r="O45" s="6"/>
    </row>
    <row r="46" spans="1:15" s="4" customFormat="1" ht="15.75" x14ac:dyDescent="0.25">
      <c r="B46" s="19"/>
      <c r="C46" s="19"/>
      <c r="D46" s="19"/>
      <c r="J46" s="9"/>
      <c r="K46" s="9"/>
      <c r="M46" s="6"/>
      <c r="N46" s="6"/>
      <c r="O46" s="6"/>
    </row>
    <row r="47" spans="1:15" s="7" customFormat="1" ht="15.75" x14ac:dyDescent="0.25">
      <c r="A47" s="8" t="s">
        <v>75</v>
      </c>
      <c r="B47" s="8"/>
      <c r="C47" s="8"/>
      <c r="D47" s="8"/>
      <c r="J47" s="9"/>
      <c r="K47" s="9">
        <f>1061624.16+1061623.98+1066647.96+1044693.24</f>
        <v>4234589.34</v>
      </c>
      <c r="M47" s="18"/>
      <c r="N47" s="18"/>
      <c r="O47" s="18"/>
    </row>
    <row r="48" spans="1:15" s="7" customFormat="1" ht="15.75" x14ac:dyDescent="0.25">
      <c r="A48" s="8" t="s">
        <v>76</v>
      </c>
      <c r="B48" s="8"/>
      <c r="C48" s="8"/>
      <c r="D48" s="8"/>
      <c r="E48" s="8"/>
      <c r="F48" s="8"/>
      <c r="J48" s="9"/>
      <c r="K48" s="9">
        <f>992244.65+1046402.44+1033811.89+1040729.49</f>
        <v>4113188.4699999997</v>
      </c>
      <c r="M48" s="18"/>
      <c r="N48" s="18"/>
      <c r="O48" s="18"/>
    </row>
    <row r="49" spans="1:15" s="4" customFormat="1" ht="15.75" x14ac:dyDescent="0.25">
      <c r="A49" s="7" t="s">
        <v>77</v>
      </c>
      <c r="K49" s="20">
        <f>16983.35+17782.28+15246.88+18874.21</f>
        <v>68886.720000000001</v>
      </c>
      <c r="M49" s="6"/>
      <c r="N49" s="6"/>
      <c r="O49" s="6"/>
    </row>
    <row r="50" spans="1:15" s="4" customFormat="1" ht="15.75" x14ac:dyDescent="0.25">
      <c r="A50" s="7" t="s">
        <v>78</v>
      </c>
      <c r="K50" s="21">
        <f>K48+K49-K45</f>
        <v>-318623.91499999957</v>
      </c>
      <c r="M50" s="6"/>
      <c r="N50" s="6"/>
      <c r="O50" s="6"/>
    </row>
    <row r="51" spans="1:15" s="4" customFormat="1" ht="15" x14ac:dyDescent="0.2">
      <c r="M51" s="6"/>
      <c r="N51" s="6"/>
      <c r="O51" s="6"/>
    </row>
    <row r="52" spans="1:15" s="4" customFormat="1" ht="15" x14ac:dyDescent="0.2">
      <c r="B52" s="4" t="s">
        <v>79</v>
      </c>
      <c r="J52" s="4" t="s">
        <v>80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81</v>
      </c>
      <c r="I54" s="22"/>
      <c r="J54" s="22"/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2020-02-05T10:31:56Z</dcterms:created>
  <dcterms:modified xsi:type="dcterms:W3CDTF">2020-02-05T10:37:54Z</dcterms:modified>
</cp:coreProperties>
</file>