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Отчеты о выпол. работ 2019\"/>
    </mc:Choice>
  </mc:AlternateContent>
  <bookViews>
    <workbookView xWindow="0" yWindow="0" windowWidth="19200" windowHeight="11595"/>
  </bookViews>
  <sheets>
    <sheet name="31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7" i="1"/>
  <c r="K42" i="1"/>
  <c r="J42" i="1"/>
  <c r="K40" i="1"/>
  <c r="J40" i="1"/>
  <c r="K38" i="1"/>
  <c r="J38" i="1"/>
  <c r="K36" i="1"/>
  <c r="J36" i="1"/>
  <c r="K34" i="1"/>
  <c r="J34" i="1"/>
  <c r="K32" i="1"/>
  <c r="K30" i="1"/>
  <c r="K28" i="1"/>
  <c r="K27" i="1"/>
  <c r="K26" i="1"/>
  <c r="K25" i="1"/>
  <c r="J25" i="1"/>
  <c r="K20" i="1"/>
  <c r="J20" i="1"/>
  <c r="K19" i="1"/>
  <c r="K11" i="1" s="1"/>
  <c r="J19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J11" i="1"/>
  <c r="K9" i="1"/>
  <c r="J9" i="1"/>
  <c r="K8" i="1"/>
  <c r="J8" i="1"/>
  <c r="K7" i="1"/>
  <c r="J7" i="1"/>
  <c r="K5" i="1"/>
  <c r="K6" i="1" s="1"/>
  <c r="K4" i="1" s="1"/>
  <c r="K43" i="1" s="1"/>
  <c r="J5" i="1"/>
  <c r="J6" i="1" s="1"/>
  <c r="J4" i="1" s="1"/>
  <c r="J43" i="1" s="1"/>
  <c r="J44" i="1" l="1"/>
  <c r="J45" i="1" s="1"/>
  <c r="K45" i="1"/>
  <c r="K50" i="1" s="1"/>
  <c r="K44" i="1"/>
</calcChain>
</file>

<file path=xl/sharedStrings.xml><?xml version="1.0" encoding="utf-8"?>
<sst xmlns="http://schemas.openxmlformats.org/spreadsheetml/2006/main" count="80" uniqueCount="80">
  <si>
    <t xml:space="preserve">ОТЧЁТ по расходам на обслуживание </t>
  </si>
  <si>
    <t xml:space="preserve"> д.31 корп. 1 по ул. Зубковой за январь-декабрь 2019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</si>
  <si>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</si>
  <si>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</si>
  <si>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</si>
  <si>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</si>
  <si>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</si>
  <si>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</si>
  <si>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</si>
  <si>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30.2%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</si>
  <si>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</si>
  <si>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</si>
  <si>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</si>
  <si>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</si>
  <si>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</si>
  <si>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</si>
  <si>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1.6.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</si>
  <si>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</si>
  <si>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</si>
  <si>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</si>
  <si>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</si>
  <si>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</si>
  <si>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</si>
  <si>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</si>
  <si>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</si>
  <si>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</si>
  <si>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</si>
  <si>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</si>
  <si>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</si>
  <si>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</si>
  <si>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</si>
  <si>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</si>
  <si>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</si>
  <si>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2.8.</t>
  </si>
  <si>
    <t>Испытание и измерение электрооб.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</si>
  <si>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</si>
  <si>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</si>
  <si>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</si>
  <si>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</si>
  <si>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</si>
  <si>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</si>
  <si>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</si>
  <si>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</si>
  <si>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</si>
  <si>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</si>
  <si>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</si>
  <si>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</si>
  <si>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</si>
  <si>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</si>
  <si>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</si>
  <si>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</si>
  <si>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</si>
  <si>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</si>
  <si>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</si>
  <si>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Ремонт балк. козырьков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</si>
  <si>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</si>
  <si>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</si>
  <si>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</si>
  <si>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</si>
  <si>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</si>
  <si>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</si>
  <si>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30,2%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</si>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</sst>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7"/>
  <sheetViews>
    <sheetView tabSelected="1" topLeftCell="A13" workbookViewId="0">
      <selection activeCell="K39" sqref="K39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3.42578125" customWidth="1"/>
    <col min="13" max="13" width="15.7109375" style="22" customWidth="1"/>
    <col min="14" max="14" width="14.140625" style="22" customWidth="1"/>
    <col min="15" max="15" width="9.140625" style="22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183871.74</v>
      </c>
      <c r="K4" s="9">
        <f>SUM(K5:K10)</f>
        <v>190321.27000000002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10506*12</f>
        <v>126072</v>
      </c>
      <c r="K5" s="11">
        <f>29993.2+34023.12+34958.8+30075.49</f>
        <v>129050.61000000002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ROUND(J5*30.2/100,2)</f>
        <v>38073.74</v>
      </c>
      <c r="K6" s="13">
        <f>ROUND(K5*30.2/100,2)</f>
        <v>38973.279999999999</v>
      </c>
      <c r="M6" s="14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289*10+433*2</f>
        <v>3756</v>
      </c>
      <c r="K7" s="11">
        <f>3928.67+1000.6+577.7+894.29</f>
        <v>6401.26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1224*10</f>
        <v>12240</v>
      </c>
      <c r="K8" s="11">
        <f>4131.58+2540.51+3211.58+964.17</f>
        <v>10847.84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269*10+520*2</f>
        <v>3730</v>
      </c>
      <c r="K9" s="11">
        <f>2718.87+479.85+65.17+1784.39</f>
        <v>5048.28</v>
      </c>
      <c r="M9" s="6"/>
      <c r="N9" s="6"/>
      <c r="O9" s="6"/>
    </row>
    <row r="10" spans="1:15" s="4" customFormat="1" ht="15" x14ac:dyDescent="0.2">
      <c r="B10" s="4" t="s">
        <v>16</v>
      </c>
      <c r="C10" s="10"/>
      <c r="D10" s="10"/>
      <c r="E10" s="10"/>
      <c r="F10" s="10"/>
      <c r="G10" s="10"/>
      <c r="J10" s="11"/>
      <c r="K10" s="11"/>
      <c r="M10" s="6"/>
      <c r="N10" s="6"/>
      <c r="O10" s="6"/>
    </row>
    <row r="11" spans="1:15" s="4" customFormat="1" ht="15.75" x14ac:dyDescent="0.25">
      <c r="A11" s="7" t="s">
        <v>17</v>
      </c>
      <c r="B11" s="8" t="s">
        <v>18</v>
      </c>
      <c r="C11" s="8"/>
      <c r="D11" s="8"/>
      <c r="E11" s="8"/>
      <c r="F11" s="8"/>
      <c r="J11" s="9">
        <f>SUM(J12:J19)</f>
        <v>132724</v>
      </c>
      <c r="K11" s="9">
        <f>SUM(K12:K19)</f>
        <v>144238.69</v>
      </c>
      <c r="M11" s="6"/>
      <c r="N11" s="6"/>
      <c r="O11" s="6"/>
    </row>
    <row r="12" spans="1:15" s="4" customFormat="1" ht="15" x14ac:dyDescent="0.2">
      <c r="B12" s="15" t="s">
        <v>19</v>
      </c>
      <c r="C12" s="12" t="s">
        <v>20</v>
      </c>
      <c r="D12" s="12"/>
      <c r="E12" s="15"/>
      <c r="F12" s="15"/>
      <c r="J12" s="11">
        <f>3425*10</f>
        <v>34250</v>
      </c>
      <c r="K12" s="11">
        <f>11825.62+7690.63+8237.91+2999.98</f>
        <v>30754.14</v>
      </c>
      <c r="M12" s="6"/>
      <c r="N12" s="6"/>
      <c r="O12" s="6"/>
    </row>
    <row r="13" spans="1:15" s="4" customFormat="1" ht="15" x14ac:dyDescent="0.2">
      <c r="B13" s="4" t="s">
        <v>21</v>
      </c>
      <c r="C13" s="12" t="s">
        <v>22</v>
      </c>
      <c r="D13" s="12"/>
      <c r="E13" s="12"/>
      <c r="J13" s="11">
        <f>3600*10</f>
        <v>36000</v>
      </c>
      <c r="K13" s="11">
        <f>9721.42+11799.44+13023+4806.8</f>
        <v>39350.660000000003</v>
      </c>
      <c r="M13" s="6"/>
      <c r="N13" s="6"/>
      <c r="O13" s="6"/>
    </row>
    <row r="14" spans="1:15" s="4" customFormat="1" ht="15" x14ac:dyDescent="0.2">
      <c r="B14" s="4" t="s">
        <v>23</v>
      </c>
      <c r="C14" s="12" t="s">
        <v>24</v>
      </c>
      <c r="D14" s="12"/>
      <c r="E14" s="12"/>
      <c r="F14" s="12"/>
      <c r="J14" s="11">
        <f>288*10+302*2</f>
        <v>3484</v>
      </c>
      <c r="K14" s="11">
        <f>878.4+878.4+878.4+878.4</f>
        <v>3513.6</v>
      </c>
      <c r="M14" s="6"/>
      <c r="N14" s="6"/>
      <c r="O14" s="6"/>
    </row>
    <row r="15" spans="1:15" s="4" customFormat="1" ht="15" x14ac:dyDescent="0.2">
      <c r="B15" s="4" t="s">
        <v>25</v>
      </c>
      <c r="C15" s="12" t="s">
        <v>26</v>
      </c>
      <c r="D15" s="12"/>
      <c r="E15" s="12"/>
      <c r="F15" s="12"/>
      <c r="G15" s="12"/>
      <c r="H15" s="12"/>
      <c r="J15" s="11">
        <f>1581*10+1885*2</f>
        <v>19580</v>
      </c>
      <c r="K15" s="11">
        <f>5505.07+5912.19+5786.54+4961.49</f>
        <v>22165.29</v>
      </c>
      <c r="M15" s="6"/>
      <c r="N15" s="6"/>
      <c r="O15" s="6"/>
    </row>
    <row r="16" spans="1:15" s="4" customFormat="1" ht="15" x14ac:dyDescent="0.2">
      <c r="B16" s="4" t="s">
        <v>27</v>
      </c>
      <c r="C16" s="12" t="s">
        <v>28</v>
      </c>
      <c r="D16" s="12"/>
      <c r="E16" s="12"/>
      <c r="F16" s="12"/>
      <c r="J16" s="11">
        <f>1965*12</f>
        <v>23580</v>
      </c>
      <c r="K16" s="11">
        <f>23585</f>
        <v>23585</v>
      </c>
      <c r="M16" s="6"/>
      <c r="N16" s="6"/>
      <c r="O16" s="6"/>
    </row>
    <row r="17" spans="1:15" s="4" customFormat="1" ht="15" x14ac:dyDescent="0.2">
      <c r="B17" s="4" t="s">
        <v>29</v>
      </c>
      <c r="C17" s="15" t="s">
        <v>30</v>
      </c>
      <c r="D17" s="15"/>
      <c r="E17" s="15"/>
      <c r="F17" s="15"/>
      <c r="J17" s="11">
        <f>140*12</f>
        <v>1680</v>
      </c>
      <c r="K17" s="11">
        <f>0</f>
        <v>0</v>
      </c>
    </row>
    <row r="18" spans="1:15" s="4" customFormat="1" ht="15" x14ac:dyDescent="0.2">
      <c r="B18" s="4" t="s">
        <v>31</v>
      </c>
      <c r="C18" s="15" t="s">
        <v>32</v>
      </c>
      <c r="D18" s="15"/>
      <c r="E18" s="15"/>
      <c r="F18" s="15"/>
      <c r="J18" s="11">
        <f>1401*10</f>
        <v>14010</v>
      </c>
      <c r="K18" s="11">
        <v>24030</v>
      </c>
    </row>
    <row r="19" spans="1:15" s="4" customFormat="1" ht="15" x14ac:dyDescent="0.2">
      <c r="B19" s="4" t="s">
        <v>33</v>
      </c>
      <c r="C19" s="15" t="s">
        <v>34</v>
      </c>
      <c r="D19" s="15"/>
      <c r="E19" s="15"/>
      <c r="F19" s="15"/>
      <c r="J19" s="11">
        <f>70*2</f>
        <v>140</v>
      </c>
      <c r="K19" s="11">
        <f>140*6</f>
        <v>840</v>
      </c>
    </row>
    <row r="20" spans="1:15" s="4" customFormat="1" ht="15.75" x14ac:dyDescent="0.25">
      <c r="A20" s="7" t="s">
        <v>35</v>
      </c>
      <c r="B20" s="8" t="s">
        <v>36</v>
      </c>
      <c r="C20" s="8"/>
      <c r="D20" s="8"/>
      <c r="E20" s="8"/>
      <c r="F20" s="8"/>
      <c r="G20" s="8"/>
      <c r="H20" s="8"/>
      <c r="J20" s="9">
        <f>SUM(J21:J23)</f>
        <v>0</v>
      </c>
      <c r="K20" s="9">
        <f>SUM(K21:K23)</f>
        <v>0</v>
      </c>
      <c r="M20" s="6"/>
      <c r="N20" s="6"/>
      <c r="O20" s="6"/>
    </row>
    <row r="21" spans="1:15" s="4" customFormat="1" ht="15" x14ac:dyDescent="0.2">
      <c r="B21" s="15" t="s">
        <v>37</v>
      </c>
      <c r="C21" s="12" t="s">
        <v>38</v>
      </c>
      <c r="D21" s="12"/>
      <c r="E21" s="12"/>
      <c r="F21" s="12"/>
      <c r="G21" s="12"/>
      <c r="J21" s="11">
        <v>0</v>
      </c>
      <c r="K21" s="11">
        <v>0</v>
      </c>
      <c r="M21" s="6"/>
      <c r="N21" s="6"/>
      <c r="O21" s="6"/>
    </row>
    <row r="22" spans="1:15" s="4" customFormat="1" ht="15" x14ac:dyDescent="0.2">
      <c r="B22" s="15" t="s">
        <v>39</v>
      </c>
      <c r="C22" s="12" t="s">
        <v>40</v>
      </c>
      <c r="D22" s="12"/>
      <c r="E22" s="12"/>
      <c r="F22" s="12"/>
      <c r="G22" s="12"/>
      <c r="H22" s="10"/>
      <c r="J22" s="11">
        <v>0</v>
      </c>
      <c r="K22" s="11">
        <v>0</v>
      </c>
      <c r="M22" s="6"/>
      <c r="N22" s="6"/>
      <c r="O22" s="6"/>
    </row>
    <row r="23" spans="1:15" s="4" customFormat="1" ht="15" x14ac:dyDescent="0.2">
      <c r="B23" s="4" t="s">
        <v>41</v>
      </c>
      <c r="C23" s="4" t="s">
        <v>42</v>
      </c>
      <c r="J23" s="11">
        <v>0</v>
      </c>
      <c r="K23" s="11">
        <v>0</v>
      </c>
      <c r="M23" s="6"/>
      <c r="N23" s="6"/>
      <c r="O23" s="6"/>
    </row>
    <row r="24" spans="1:15" s="4" customFormat="1" ht="15" x14ac:dyDescent="0.2">
      <c r="J24" s="11"/>
      <c r="K24" s="11"/>
      <c r="M24" s="6"/>
      <c r="N24" s="6"/>
      <c r="O24" s="6"/>
    </row>
    <row r="25" spans="1:15" s="4" customFormat="1" ht="15.75" x14ac:dyDescent="0.25">
      <c r="A25" s="7" t="s">
        <v>43</v>
      </c>
      <c r="B25" s="16" t="s">
        <v>44</v>
      </c>
      <c r="C25" s="16"/>
      <c r="D25" s="16"/>
      <c r="J25" s="9">
        <f>20760*10+25130*2</f>
        <v>257860</v>
      </c>
      <c r="K25" s="9">
        <f>SUM(K26:K30)</f>
        <v>368250.03999999992</v>
      </c>
      <c r="M25" s="6"/>
      <c r="N25" s="6"/>
      <c r="O25" s="6"/>
    </row>
    <row r="26" spans="1:15" s="4" customFormat="1" ht="15" x14ac:dyDescent="0.2">
      <c r="B26" s="4" t="s">
        <v>45</v>
      </c>
      <c r="C26" s="10" t="s">
        <v>46</v>
      </c>
      <c r="D26" s="10"/>
      <c r="J26" s="11"/>
      <c r="K26" s="11">
        <f>54694.77+28329.65+159717.93+35268.87</f>
        <v>278011.21999999997</v>
      </c>
      <c r="M26" s="6"/>
      <c r="N26" s="6"/>
      <c r="O26" s="6"/>
    </row>
    <row r="27" spans="1:15" s="4" customFormat="1" ht="15" x14ac:dyDescent="0.2">
      <c r="B27" s="4" t="s">
        <v>47</v>
      </c>
      <c r="C27" s="12" t="s">
        <v>48</v>
      </c>
      <c r="D27" s="12"/>
      <c r="E27" s="12"/>
      <c r="F27" s="12"/>
      <c r="G27" s="12"/>
      <c r="J27" s="11"/>
      <c r="K27" s="11">
        <f>14791.12+14861.25+9906.92+14334.3</f>
        <v>53893.59</v>
      </c>
      <c r="M27" s="6"/>
      <c r="N27" s="6"/>
      <c r="O27" s="6"/>
    </row>
    <row r="28" spans="1:15" s="4" customFormat="1" ht="15" x14ac:dyDescent="0.2">
      <c r="B28" s="4" t="s">
        <v>49</v>
      </c>
      <c r="C28" s="12" t="s">
        <v>50</v>
      </c>
      <c r="D28" s="12"/>
      <c r="E28" s="12"/>
      <c r="F28" s="12"/>
      <c r="G28" s="10"/>
      <c r="H28" s="10"/>
      <c r="J28" s="11"/>
      <c r="K28" s="11">
        <f>3426.16+3476.42+3391.36+6051.29</f>
        <v>16345.23</v>
      </c>
      <c r="M28" s="6"/>
      <c r="N28" s="6"/>
      <c r="O28" s="6"/>
    </row>
    <row r="29" spans="1:15" s="4" customFormat="1" ht="15" x14ac:dyDescent="0.2">
      <c r="B29" s="4" t="s">
        <v>51</v>
      </c>
      <c r="C29" s="15" t="s">
        <v>52</v>
      </c>
      <c r="D29" s="15"/>
      <c r="E29" s="15"/>
      <c r="F29" s="15"/>
      <c r="G29" s="10"/>
      <c r="H29" s="10"/>
      <c r="J29" s="11"/>
      <c r="K29" s="11">
        <v>0</v>
      </c>
      <c r="M29" s="6"/>
      <c r="N29" s="6"/>
      <c r="O29" s="6"/>
    </row>
    <row r="30" spans="1:15" s="4" customFormat="1" ht="15" x14ac:dyDescent="0.2">
      <c r="B30" s="4" t="s">
        <v>53</v>
      </c>
      <c r="C30" s="15" t="s">
        <v>54</v>
      </c>
      <c r="D30" s="15"/>
      <c r="E30" s="15"/>
      <c r="F30" s="15"/>
      <c r="G30" s="10"/>
      <c r="H30" s="10"/>
      <c r="J30" s="11"/>
      <c r="K30" s="11">
        <f>20000*1</f>
        <v>20000</v>
      </c>
    </row>
    <row r="31" spans="1:15" s="4" customFormat="1" ht="15" x14ac:dyDescent="0.2">
      <c r="B31" s="4" t="s">
        <v>55</v>
      </c>
      <c r="C31" s="15"/>
      <c r="D31" s="15"/>
      <c r="E31" s="15"/>
      <c r="F31" s="15"/>
      <c r="G31" s="10"/>
      <c r="H31" s="10"/>
      <c r="J31" s="11"/>
      <c r="K31" s="11"/>
    </row>
    <row r="32" spans="1:15" s="4" customFormat="1" ht="15.75" x14ac:dyDescent="0.25">
      <c r="A32" s="7" t="s">
        <v>56</v>
      </c>
      <c r="B32" s="16" t="s">
        <v>57</v>
      </c>
      <c r="C32" s="16"/>
      <c r="D32" s="16"/>
      <c r="J32" s="9">
        <v>0</v>
      </c>
      <c r="K32" s="9">
        <f>K33+K34</f>
        <v>0</v>
      </c>
      <c r="M32" s="6"/>
      <c r="N32" s="6"/>
      <c r="O32" s="6"/>
    </row>
    <row r="33" spans="1:15" s="4" customFormat="1" ht="15.75" x14ac:dyDescent="0.25">
      <c r="A33" s="7"/>
      <c r="B33" s="10" t="s">
        <v>58</v>
      </c>
      <c r="C33" s="10" t="s">
        <v>59</v>
      </c>
      <c r="D33" s="10"/>
      <c r="J33" s="9">
        <v>0</v>
      </c>
      <c r="K33" s="11">
        <v>0</v>
      </c>
      <c r="M33" s="6"/>
      <c r="N33" s="6"/>
      <c r="O33" s="6"/>
    </row>
    <row r="34" spans="1:15" s="4" customFormat="1" ht="15.75" x14ac:dyDescent="0.25">
      <c r="A34" s="7"/>
      <c r="B34" s="10" t="s">
        <v>60</v>
      </c>
      <c r="C34" s="10" t="s">
        <v>61</v>
      </c>
      <c r="D34" s="10"/>
      <c r="J34" s="11">
        <f>J33*0.302</f>
        <v>0</v>
      </c>
      <c r="K34" s="11">
        <f>K33*0.302</f>
        <v>0</v>
      </c>
    </row>
    <row r="35" spans="1:15" s="4" customFormat="1" ht="15.75" x14ac:dyDescent="0.25">
      <c r="A35" s="7"/>
      <c r="B35" s="10"/>
      <c r="C35" s="10"/>
      <c r="D35" s="10"/>
      <c r="J35" s="9"/>
      <c r="K35" s="11"/>
      <c r="M35" s="6"/>
      <c r="N35" s="6"/>
      <c r="O35" s="6"/>
    </row>
    <row r="36" spans="1:15" s="4" customFormat="1" ht="15.75" x14ac:dyDescent="0.25">
      <c r="A36" s="7" t="s">
        <v>62</v>
      </c>
      <c r="B36" s="8" t="s">
        <v>63</v>
      </c>
      <c r="C36" s="8"/>
      <c r="D36" s="8"/>
      <c r="E36" s="8"/>
      <c r="J36" s="9">
        <f>4390*12</f>
        <v>52680</v>
      </c>
      <c r="K36" s="9">
        <f>14806.92+12452.27+14016.16+4483.81+8978.56</f>
        <v>54737.72</v>
      </c>
      <c r="M36" s="6"/>
      <c r="N36" s="6"/>
      <c r="O36" s="6"/>
    </row>
    <row r="37" spans="1:15" s="4" customFormat="1" ht="15" x14ac:dyDescent="0.2">
      <c r="J37" s="11"/>
      <c r="K37" s="11"/>
      <c r="M37" s="6"/>
      <c r="N37" s="6"/>
      <c r="O37" s="6"/>
    </row>
    <row r="38" spans="1:15" s="4" customFormat="1" ht="15.75" x14ac:dyDescent="0.25">
      <c r="A38" s="7" t="s">
        <v>64</v>
      </c>
      <c r="B38" s="8" t="s">
        <v>65</v>
      </c>
      <c r="C38" s="8"/>
      <c r="D38" s="8"/>
      <c r="E38" s="8"/>
      <c r="F38" s="8"/>
      <c r="J38" s="9">
        <f>7820*10+10020*2</f>
        <v>98240</v>
      </c>
      <c r="K38" s="9">
        <f>25716.93+26328.26+23823.88+8257.29+18401.98</f>
        <v>102528.34000000001</v>
      </c>
      <c r="M38" s="6"/>
      <c r="N38" s="6"/>
      <c r="O38" s="6"/>
    </row>
    <row r="39" spans="1:15" s="4" customFormat="1" ht="15" x14ac:dyDescent="0.2">
      <c r="J39" s="11"/>
      <c r="K39" s="11"/>
      <c r="M39" s="6"/>
      <c r="N39" s="6"/>
      <c r="O39" s="6"/>
    </row>
    <row r="40" spans="1:15" s="4" customFormat="1" ht="15.75" x14ac:dyDescent="0.25">
      <c r="A40" s="7" t="s">
        <v>66</v>
      </c>
      <c r="B40" s="7" t="s">
        <v>67</v>
      </c>
      <c r="J40" s="9">
        <f>1320*12</f>
        <v>15840</v>
      </c>
      <c r="K40" s="9">
        <f>13834.07+243.98+6.93+0</f>
        <v>14084.98</v>
      </c>
      <c r="M40" s="6"/>
      <c r="N40" s="6"/>
      <c r="O40" s="6"/>
    </row>
    <row r="41" spans="1:15" s="4" customFormat="1" ht="15.75" x14ac:dyDescent="0.25">
      <c r="A41" s="7"/>
      <c r="B41" s="7"/>
      <c r="J41" s="9"/>
      <c r="K41" s="9"/>
      <c r="M41" s="6"/>
      <c r="N41" s="6"/>
      <c r="O41" s="6"/>
    </row>
    <row r="42" spans="1:15" s="7" customFormat="1" ht="15.75" x14ac:dyDescent="0.25">
      <c r="A42" s="7" t="s">
        <v>68</v>
      </c>
      <c r="B42" s="7" t="s">
        <v>69</v>
      </c>
      <c r="J42" s="9">
        <f>7940*10+8220*2</f>
        <v>95840</v>
      </c>
      <c r="K42" s="9">
        <f>23764.44+23764.44+23156.17+24645.42</f>
        <v>95330.469999999987</v>
      </c>
      <c r="M42" s="17"/>
      <c r="N42" s="17"/>
      <c r="O42" s="17"/>
    </row>
    <row r="43" spans="1:15" s="4" customFormat="1" ht="15.75" x14ac:dyDescent="0.25">
      <c r="B43" s="7" t="s">
        <v>70</v>
      </c>
      <c r="J43" s="9">
        <f>J4+J11+J20+J25+J29+J36+J38+J40+J42</f>
        <v>837055.74</v>
      </c>
      <c r="K43" s="9">
        <f>K4+K11+K20+K25+K32+K36+K38+K40+K42</f>
        <v>969491.50999999989</v>
      </c>
      <c r="M43" s="6"/>
      <c r="N43" s="6"/>
      <c r="O43" s="6"/>
    </row>
    <row r="44" spans="1:15" s="4" customFormat="1" ht="15.75" x14ac:dyDescent="0.25">
      <c r="B44" s="7" t="s">
        <v>71</v>
      </c>
      <c r="J44" s="11">
        <f>ROUND(J43*7/100,2)</f>
        <v>58593.9</v>
      </c>
      <c r="K44" s="11">
        <f>ROUND(K43*7/100,2)</f>
        <v>67864.41</v>
      </c>
      <c r="M44" s="6"/>
      <c r="N44" s="6"/>
      <c r="O44" s="6"/>
    </row>
    <row r="45" spans="1:15" s="4" customFormat="1" ht="15.75" x14ac:dyDescent="0.25">
      <c r="B45" s="8" t="s">
        <v>72</v>
      </c>
      <c r="C45" s="8"/>
      <c r="D45" s="8"/>
      <c r="J45" s="9">
        <f>SUM(J43:J44)</f>
        <v>895649.64</v>
      </c>
      <c r="K45" s="9">
        <f>SUM(K43:K44)</f>
        <v>1037355.9199999999</v>
      </c>
      <c r="M45" s="6"/>
      <c r="N45" s="6"/>
      <c r="O45" s="6"/>
    </row>
    <row r="46" spans="1:15" s="4" customFormat="1" ht="15.75" x14ac:dyDescent="0.25">
      <c r="B46" s="18"/>
      <c r="C46" s="18"/>
      <c r="D46" s="18"/>
      <c r="J46" s="9"/>
      <c r="K46" s="9"/>
      <c r="M46" s="6"/>
      <c r="N46" s="6"/>
      <c r="O46" s="6"/>
    </row>
    <row r="47" spans="1:15" s="7" customFormat="1" ht="15.75" x14ac:dyDescent="0.25">
      <c r="A47" s="8" t="s">
        <v>73</v>
      </c>
      <c r="B47" s="8"/>
      <c r="C47" s="8"/>
      <c r="D47" s="8"/>
      <c r="J47" s="9"/>
      <c r="K47" s="9">
        <f>220522.2+220522.11+221374.68+215312.24</f>
        <v>877731.23</v>
      </c>
      <c r="M47" s="17"/>
      <c r="N47" s="17"/>
      <c r="O47" s="17"/>
    </row>
    <row r="48" spans="1:15" s="7" customFormat="1" ht="15.75" x14ac:dyDescent="0.25">
      <c r="A48" s="8" t="s">
        <v>74</v>
      </c>
      <c r="B48" s="8"/>
      <c r="C48" s="8"/>
      <c r="D48" s="8"/>
      <c r="E48" s="8"/>
      <c r="F48" s="8"/>
      <c r="J48" s="9"/>
      <c r="K48" s="9">
        <f>200641.4+206413.34+224240.46+224203.97</f>
        <v>855499.16999999993</v>
      </c>
      <c r="M48" s="17"/>
      <c r="N48" s="17"/>
      <c r="O48" s="17"/>
    </row>
    <row r="49" spans="1:15" s="4" customFormat="1" ht="15.75" x14ac:dyDescent="0.25">
      <c r="A49" s="7" t="s">
        <v>75</v>
      </c>
      <c r="K49" s="19">
        <f>4090.47+3795.13+2765.17+4322.48</f>
        <v>14973.25</v>
      </c>
      <c r="M49" s="6"/>
      <c r="N49" s="6"/>
      <c r="O49" s="6"/>
    </row>
    <row r="50" spans="1:15" s="4" customFormat="1" ht="15.75" x14ac:dyDescent="0.25">
      <c r="A50" s="7" t="s">
        <v>76</v>
      </c>
      <c r="K50" s="20">
        <f>K48+K49-K45</f>
        <v>-166883.5</v>
      </c>
      <c r="M50" s="6"/>
      <c r="N50" s="6"/>
      <c r="O50" s="6"/>
    </row>
    <row r="51" spans="1:15" s="4" customFormat="1" ht="15.75" x14ac:dyDescent="0.25">
      <c r="A51" s="7"/>
      <c r="M51" s="6"/>
      <c r="N51" s="6"/>
      <c r="O51" s="6"/>
    </row>
    <row r="52" spans="1:15" s="4" customFormat="1" ht="15" x14ac:dyDescent="0.2">
      <c r="B52" s="4" t="s">
        <v>77</v>
      </c>
      <c r="J52" s="4" t="s">
        <v>78</v>
      </c>
      <c r="M52" s="6"/>
      <c r="N52" s="6"/>
      <c r="O52" s="6"/>
    </row>
    <row r="53" spans="1:15" s="4" customFormat="1" ht="15" x14ac:dyDescent="0.2">
      <c r="M53" s="6"/>
      <c r="N53" s="6"/>
      <c r="O53" s="6"/>
    </row>
    <row r="54" spans="1:15" s="4" customFormat="1" ht="15" x14ac:dyDescent="0.2">
      <c r="B54" s="4" t="s">
        <v>79</v>
      </c>
      <c r="I54" s="21"/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  <row r="177" spans="13:15" s="4" customFormat="1" ht="15" x14ac:dyDescent="0.2">
      <c r="M177" s="6"/>
      <c r="N177" s="6"/>
      <c r="O177" s="6"/>
    </row>
  </sheetData>
  <mergeCells count="21">
    <mergeCell ref="B45:D45"/>
    <mergeCell ref="A47:D47"/>
    <mergeCell ref="A48:F48"/>
    <mergeCell ref="C21:G21"/>
    <mergeCell ref="C22:G22"/>
    <mergeCell ref="C27:G27"/>
    <mergeCell ref="C28:F28"/>
    <mergeCell ref="B36:E36"/>
    <mergeCell ref="B38:F38"/>
    <mergeCell ref="C12:D12"/>
    <mergeCell ref="C13:E13"/>
    <mergeCell ref="C14:F14"/>
    <mergeCell ref="C15:H15"/>
    <mergeCell ref="C16:F16"/>
    <mergeCell ref="B20:H20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2020-02-05T10:29:50Z</dcterms:created>
  <dcterms:modified xsi:type="dcterms:W3CDTF">2020-02-05T10:34:37Z</dcterms:modified>
</cp:coreProperties>
</file>