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Отчеты выполненных работ\"/>
    </mc:Choice>
  </mc:AlternateContent>
  <bookViews>
    <workbookView xWindow="0" yWindow="0" windowWidth="19200" windowHeight="11595"/>
  </bookViews>
  <sheets>
    <sheet name="50-2 им. Петрова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1" l="1"/>
  <c r="K46" i="1"/>
  <c r="K41" i="1"/>
  <c r="J41" i="1"/>
  <c r="K39" i="1"/>
  <c r="J39" i="1"/>
  <c r="K37" i="1"/>
  <c r="J37" i="1"/>
  <c r="K36" i="1"/>
  <c r="J36" i="1"/>
  <c r="K35" i="1"/>
  <c r="J35" i="1"/>
  <c r="K28" i="1"/>
  <c r="K27" i="1"/>
  <c r="K26" i="1"/>
  <c r="K25" i="1"/>
  <c r="K24" i="1"/>
  <c r="J24" i="1"/>
  <c r="K22" i="1"/>
  <c r="J22" i="1"/>
  <c r="K21" i="1"/>
  <c r="J21" i="1"/>
  <c r="K20" i="1"/>
  <c r="J20" i="1"/>
  <c r="K19" i="1"/>
  <c r="J19" i="1"/>
  <c r="J18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9" i="1"/>
  <c r="J9" i="1"/>
  <c r="K8" i="1"/>
  <c r="J8" i="1"/>
  <c r="K7" i="1"/>
  <c r="J7" i="1"/>
  <c r="K5" i="1"/>
  <c r="K6" i="1" s="1"/>
  <c r="K4" i="1" s="1"/>
  <c r="K42" i="1" s="1"/>
  <c r="J5" i="1"/>
  <c r="J6" i="1" s="1"/>
  <c r="J4" i="1" s="1"/>
  <c r="J42" i="1" s="1"/>
  <c r="J43" i="1" l="1"/>
  <c r="J44" i="1" s="1"/>
  <c r="K43" i="1"/>
  <c r="K44" i="1" s="1"/>
</calcChain>
</file>

<file path=xl/sharedStrings.xml><?xml version="1.0" encoding="utf-8"?>
<sst xmlns="http://schemas.openxmlformats.org/spreadsheetml/2006/main" count="72" uniqueCount="72">
  <si>
    <t>ОТЧЁТ по расходам на обслуживание ТСЖ "им.Петрова"</t>
  </si>
  <si>
    <t xml:space="preserve"> ул. Новосёлов д. 50 к.2, 1 - 4 п. за январь-декабрь 2018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</si>
  <si>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</si>
  <si>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</si>
  <si>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</si>
  <si>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</si>
  <si>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</si>
  <si>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</si>
  <si>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</si>
  <si>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</si>
  <si>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</si>
  <si>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</si>
  <si>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</si>
  <si>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</si>
  <si>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</si>
  <si>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</si>
  <si>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</si>
  <si>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</si>
  <si>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</si>
  <si>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</si>
  <si>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</si>
  <si>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</si>
  <si>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</si>
  <si>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</si>
  <si>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</si>
  <si>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</si>
  <si>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</si>
  <si>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</si>
  <si>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</si>
  <si>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</si>
  <si>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</si>
  <si>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</si>
  <si>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</si>
  <si>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</si>
  <si>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</si>
  <si>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</si>
  <si>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</si>
  <si>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</si>
  <si>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</si>
  <si>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</si>
  <si>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3.4.</t>
  </si>
  <si>
    <t>Оценка соответствия лмфтов, отраб. срок служ.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</si>
  <si>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</si>
  <si>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</si>
  <si>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</si>
  <si>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</si>
  <si>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</si>
  <si>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</si>
  <si>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</si>
  <si>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</si>
  <si>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</si>
  <si>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</si>
  <si>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</si>
  <si>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4.6.</t>
  </si>
  <si>
    <t>5.</t>
  </si>
  <si>
    <t>Прочие прямые затраты:</t>
  </si>
  <si>
    <t>в том числе вознаграждение председ. правл. ЖСК</t>
  </si>
  <si>
    <t>6.</t>
  </si>
  <si>
    <t>Общеэксплуатационные расходы:</t>
  </si>
  <si>
    <t>7.</t>
  </si>
  <si>
    <t>Внеэксплуатационные расходы:</t>
  </si>
  <si>
    <t>8.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</si>
  <si>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</si>
  <si>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</si>
  <si>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</si>
  <si>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</si>
  <si>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</si>
  <si>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</si>
  <si>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Директор ООО "Вектор Плюс"</t>
  </si>
  <si>
    <t>Радин В. Е.</t>
  </si>
  <si>
    <t>Председатель ТСЖ "им. Петрова"</t>
  </si>
  <si>
    <t>Лезин Н.А.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</si>
</sst>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>
      <alignment horizontal="left"/>
    </xf>
    <xf numFmtId="164" fontId="2" fillId="0" borderId="1" xfId="0" applyNumberFormat="1" applyFont="1" applyBorder="1"/>
    <xf numFmtId="165" fontId="2" fillId="0" borderId="1" xfId="0" applyNumberFormat="1" applyFont="1" applyBorder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left"/>
    </xf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O175"/>
  <sheetViews>
    <sheetView tabSelected="1" topLeftCell="A16" workbookViewId="0">
      <selection activeCell="L1" sqref="L1:M65536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3.28515625" customWidth="1"/>
    <col min="13" max="13" width="19" style="19" customWidth="1"/>
    <col min="14" max="14" width="14.5703125" style="19" customWidth="1"/>
    <col min="15" max="15" width="11.85546875" style="19" customWidth="1"/>
    <col min="16" max="16" width="11.5703125" customWidth="1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212855.71</v>
      </c>
      <c r="K4" s="9">
        <f>SUM(K5:K10)</f>
        <v>212447.6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12011*10+11073*2</f>
        <v>142256</v>
      </c>
      <c r="K5" s="11">
        <f>25480.51+39150.2+37043.19+29458.38</f>
        <v>131132.28</v>
      </c>
      <c r="M5" s="6"/>
      <c r="N5" s="6"/>
      <c r="O5" s="6"/>
    </row>
    <row r="6" spans="1:15" s="4" customFormat="1" ht="15" x14ac:dyDescent="0.2">
      <c r="B6" s="4" t="s">
        <v>8</v>
      </c>
      <c r="C6" s="10" t="s">
        <v>9</v>
      </c>
      <c r="D6" s="10"/>
      <c r="E6" s="10"/>
      <c r="F6" s="10"/>
      <c r="J6" s="12">
        <f>ROUND(J5*0.202,2)</f>
        <v>28735.71</v>
      </c>
      <c r="K6" s="12">
        <f>ROUND(K5*0.202,2)</f>
        <v>26488.720000000001</v>
      </c>
      <c r="M6" s="6"/>
      <c r="N6" s="6"/>
      <c r="O6" s="6"/>
    </row>
    <row r="7" spans="1:15" s="4" customFormat="1" ht="15" x14ac:dyDescent="0.2">
      <c r="B7" s="4" t="s">
        <v>10</v>
      </c>
      <c r="C7" s="10" t="s">
        <v>11</v>
      </c>
      <c r="D7" s="10"/>
      <c r="E7" s="10"/>
      <c r="J7" s="11">
        <f>568*10+567*2</f>
        <v>6814</v>
      </c>
      <c r="K7" s="11">
        <f>2128.59+4787.05+3311.56+680.99</f>
        <v>10908.19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2392*12</f>
        <v>28704</v>
      </c>
      <c r="K8" s="11">
        <f>7290.49+7454.04+8750.08+8384.01</f>
        <v>31878.620000000003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529*10+528*2</f>
        <v>6346</v>
      </c>
      <c r="K9" s="11">
        <f>2474.33+1160.45+3654.59+4750.42</f>
        <v>12039.79</v>
      </c>
      <c r="M9" s="6"/>
      <c r="N9" s="6"/>
      <c r="O9" s="6"/>
    </row>
    <row r="10" spans="1:15" s="4" customFormat="1" ht="15" x14ac:dyDescent="0.2">
      <c r="J10" s="11"/>
      <c r="K10" s="11"/>
      <c r="M10" s="6"/>
      <c r="N10" s="6"/>
      <c r="O10" s="6"/>
    </row>
    <row r="11" spans="1:15" s="4" customFormat="1" ht="15.75" x14ac:dyDescent="0.25">
      <c r="A11" s="7" t="s">
        <v>16</v>
      </c>
      <c r="B11" s="8" t="s">
        <v>17</v>
      </c>
      <c r="C11" s="8"/>
      <c r="D11" s="8"/>
      <c r="E11" s="8"/>
      <c r="F11" s="8"/>
      <c r="J11" s="9">
        <f>SUM(J12:J18)</f>
        <v>247014</v>
      </c>
      <c r="K11" s="9">
        <f>SUM(K12:K18)</f>
        <v>280063.43</v>
      </c>
      <c r="M11" s="6"/>
      <c r="N11" s="6"/>
      <c r="O11" s="6"/>
    </row>
    <row r="12" spans="1:15" s="4" customFormat="1" ht="15" x14ac:dyDescent="0.2">
      <c r="B12" s="13" t="s">
        <v>18</v>
      </c>
      <c r="C12" s="10" t="s">
        <v>19</v>
      </c>
      <c r="D12" s="10"/>
      <c r="E12" s="13"/>
      <c r="F12" s="13"/>
      <c r="J12" s="11">
        <f>6696*12</f>
        <v>80352</v>
      </c>
      <c r="K12" s="11">
        <f>23126.83+22588.52+23179.15+23179.15</f>
        <v>92073.65</v>
      </c>
      <c r="M12" s="6"/>
      <c r="N12" s="6"/>
      <c r="O12" s="6"/>
    </row>
    <row r="13" spans="1:15" s="4" customFormat="1" ht="15" x14ac:dyDescent="0.2">
      <c r="B13" s="4" t="s">
        <v>20</v>
      </c>
      <c r="C13" s="10" t="s">
        <v>21</v>
      </c>
      <c r="D13" s="10"/>
      <c r="E13" s="10"/>
      <c r="J13" s="11">
        <f>6745*10+7038*2</f>
        <v>81526</v>
      </c>
      <c r="K13" s="11">
        <f>24195.17+25391.08+26251.13+25193.12</f>
        <v>101030.5</v>
      </c>
      <c r="M13" s="6"/>
      <c r="N13" s="6"/>
      <c r="O13" s="6"/>
    </row>
    <row r="14" spans="1:15" s="4" customFormat="1" ht="15" x14ac:dyDescent="0.2">
      <c r="B14" s="4" t="s">
        <v>22</v>
      </c>
      <c r="C14" s="10" t="s">
        <v>23</v>
      </c>
      <c r="D14" s="10"/>
      <c r="E14" s="10"/>
      <c r="F14" s="10"/>
      <c r="J14" s="11">
        <f>283*12</f>
        <v>3396</v>
      </c>
      <c r="K14" s="11">
        <f>850.86+850.86+850.86+850.86</f>
        <v>3403.44</v>
      </c>
      <c r="M14" s="6"/>
      <c r="N14" s="6"/>
      <c r="O14" s="6"/>
    </row>
    <row r="15" spans="1:15" s="4" customFormat="1" ht="15" x14ac:dyDescent="0.2">
      <c r="B15" s="4" t="s">
        <v>24</v>
      </c>
      <c r="C15" s="10" t="s">
        <v>25</v>
      </c>
      <c r="D15" s="10"/>
      <c r="E15" s="10"/>
      <c r="F15" s="10"/>
      <c r="G15" s="10"/>
      <c r="H15" s="10"/>
      <c r="J15" s="11">
        <f>2759*10+3107*2</f>
        <v>33804</v>
      </c>
      <c r="K15" s="11">
        <f>10391.53+10046.94+11498.08+9219.29</f>
        <v>41155.840000000004</v>
      </c>
      <c r="M15" s="6"/>
      <c r="N15" s="6"/>
      <c r="O15" s="6"/>
    </row>
    <row r="16" spans="1:15" s="4" customFormat="1" ht="15" x14ac:dyDescent="0.2">
      <c r="B16" s="4" t="s">
        <v>26</v>
      </c>
      <c r="C16" s="10" t="s">
        <v>27</v>
      </c>
      <c r="D16" s="10"/>
      <c r="E16" s="10"/>
      <c r="F16" s="10"/>
      <c r="J16" s="11">
        <f>3533*12</f>
        <v>42396</v>
      </c>
      <c r="K16" s="11">
        <f>0+0+42400+0</f>
        <v>42400</v>
      </c>
      <c r="M16" s="6"/>
      <c r="N16" s="6"/>
      <c r="O16" s="6"/>
    </row>
    <row r="17" spans="1:15" s="4" customFormat="1" ht="15" x14ac:dyDescent="0.2">
      <c r="B17" s="4" t="s">
        <v>28</v>
      </c>
      <c r="C17" s="13" t="s">
        <v>29</v>
      </c>
      <c r="D17" s="13"/>
      <c r="E17" s="13"/>
      <c r="F17" s="13"/>
      <c r="J17" s="11">
        <f>251*2</f>
        <v>502</v>
      </c>
      <c r="K17" s="11">
        <v>0</v>
      </c>
    </row>
    <row r="18" spans="1:15" s="4" customFormat="1" ht="15" x14ac:dyDescent="0.2">
      <c r="B18" s="4" t="s">
        <v>30</v>
      </c>
      <c r="C18" s="13" t="s">
        <v>31</v>
      </c>
      <c r="D18" s="13"/>
      <c r="E18" s="13"/>
      <c r="F18" s="13"/>
      <c r="J18" s="11">
        <f>2519*2</f>
        <v>5038</v>
      </c>
      <c r="K18" s="11">
        <v>0</v>
      </c>
    </row>
    <row r="19" spans="1:15" s="4" customFormat="1" ht="15.75" x14ac:dyDescent="0.25">
      <c r="A19" s="7" t="s">
        <v>32</v>
      </c>
      <c r="B19" s="8" t="s">
        <v>33</v>
      </c>
      <c r="C19" s="8"/>
      <c r="D19" s="8"/>
      <c r="E19" s="8"/>
      <c r="F19" s="8"/>
      <c r="G19" s="8"/>
      <c r="H19" s="8"/>
      <c r="J19" s="9">
        <f>SUM(J20:J23)</f>
        <v>300506</v>
      </c>
      <c r="K19" s="9">
        <f>SUM(K20:K23)</f>
        <v>337471.2</v>
      </c>
      <c r="M19" s="6"/>
      <c r="N19" s="6"/>
      <c r="O19" s="6"/>
    </row>
    <row r="20" spans="1:15" s="4" customFormat="1" ht="15" x14ac:dyDescent="0.2">
      <c r="B20" s="13" t="s">
        <v>34</v>
      </c>
      <c r="C20" s="10" t="s">
        <v>35</v>
      </c>
      <c r="D20" s="10"/>
      <c r="E20" s="10"/>
      <c r="F20" s="10"/>
      <c r="G20" s="10"/>
      <c r="J20" s="11">
        <f>23856*10+20036*2</f>
        <v>278632</v>
      </c>
      <c r="K20" s="11">
        <f>71563.2+71563.2+67744.8+60108</f>
        <v>270979.20000000001</v>
      </c>
      <c r="M20" s="6"/>
      <c r="N20" s="6"/>
      <c r="O20" s="6"/>
    </row>
    <row r="21" spans="1:15" s="4" customFormat="1" ht="15" x14ac:dyDescent="0.2">
      <c r="B21" s="13" t="s">
        <v>36</v>
      </c>
      <c r="C21" s="10" t="s">
        <v>37</v>
      </c>
      <c r="D21" s="10"/>
      <c r="E21" s="10"/>
      <c r="F21" s="10"/>
      <c r="G21" s="10"/>
      <c r="H21" s="14"/>
      <c r="J21" s="11">
        <f>1479*12</f>
        <v>17748</v>
      </c>
      <c r="K21" s="11">
        <f>0+17748+0+0</f>
        <v>17748</v>
      </c>
      <c r="M21" s="6"/>
      <c r="N21" s="6"/>
      <c r="O21" s="6"/>
    </row>
    <row r="22" spans="1:15" s="4" customFormat="1" ht="15" x14ac:dyDescent="0.2">
      <c r="B22" s="4" t="s">
        <v>38</v>
      </c>
      <c r="C22" s="4" t="s">
        <v>39</v>
      </c>
      <c r="J22" s="11">
        <f>375*10+188*2</f>
        <v>4126</v>
      </c>
      <c r="K22" s="11">
        <f>171.5*4*4</f>
        <v>2744</v>
      </c>
      <c r="M22" s="6"/>
      <c r="N22" s="6"/>
      <c r="O22" s="6"/>
    </row>
    <row r="23" spans="1:15" s="4" customFormat="1" ht="15" x14ac:dyDescent="0.2">
      <c r="B23" s="4" t="s">
        <v>40</v>
      </c>
      <c r="C23" s="4" t="s">
        <v>41</v>
      </c>
      <c r="J23" s="11">
        <v>0</v>
      </c>
      <c r="K23" s="11">
        <v>46000</v>
      </c>
      <c r="M23" s="6"/>
      <c r="N23" s="6"/>
      <c r="O23" s="6"/>
    </row>
    <row r="24" spans="1:15" s="4" customFormat="1" ht="15.75" x14ac:dyDescent="0.25">
      <c r="A24" s="7" t="s">
        <v>42</v>
      </c>
      <c r="B24" s="15" t="s">
        <v>43</v>
      </c>
      <c r="C24" s="15"/>
      <c r="D24" s="15"/>
      <c r="J24" s="9">
        <f>21450*10+21420*2</f>
        <v>257340</v>
      </c>
      <c r="K24" s="9">
        <f>SUM(K25:K29)</f>
        <v>597160.87000000011</v>
      </c>
      <c r="M24" s="6"/>
      <c r="N24" s="6"/>
      <c r="O24" s="6"/>
    </row>
    <row r="25" spans="1:15" s="4" customFormat="1" ht="15" x14ac:dyDescent="0.2">
      <c r="B25" s="4" t="s">
        <v>44</v>
      </c>
      <c r="C25" s="10" t="s">
        <v>45</v>
      </c>
      <c r="D25" s="10"/>
      <c r="J25" s="11"/>
      <c r="K25" s="11">
        <f>195869.59+60591.07+195118.64+13991.53</f>
        <v>465570.83000000007</v>
      </c>
      <c r="M25" s="6"/>
      <c r="N25" s="6"/>
      <c r="O25" s="6"/>
    </row>
    <row r="26" spans="1:15" s="4" customFormat="1" ht="15" x14ac:dyDescent="0.2">
      <c r="B26" s="4" t="s">
        <v>46</v>
      </c>
      <c r="C26" s="10" t="s">
        <v>47</v>
      </c>
      <c r="D26" s="10"/>
      <c r="E26" s="10"/>
      <c r="F26" s="10"/>
      <c r="G26" s="10"/>
      <c r="J26" s="11"/>
      <c r="K26" s="11">
        <f>19190.5+16687.7+19581.44+18354.34</f>
        <v>73813.98</v>
      </c>
      <c r="M26" s="6"/>
      <c r="N26" s="6"/>
      <c r="O26" s="6"/>
    </row>
    <row r="27" spans="1:15" s="4" customFormat="1" ht="15" x14ac:dyDescent="0.2">
      <c r="B27" s="4" t="s">
        <v>48</v>
      </c>
      <c r="C27" s="10" t="s">
        <v>49</v>
      </c>
      <c r="D27" s="10"/>
      <c r="E27" s="10"/>
      <c r="F27" s="10"/>
      <c r="G27" s="14"/>
      <c r="H27" s="14"/>
      <c r="J27" s="11"/>
      <c r="K27" s="11">
        <f>8414.18+6383.76+8122.26+6355.86</f>
        <v>29276.06</v>
      </c>
      <c r="M27" s="6"/>
      <c r="N27" s="6"/>
      <c r="O27" s="6"/>
    </row>
    <row r="28" spans="1:15" s="4" customFormat="1" ht="15" x14ac:dyDescent="0.2">
      <c r="B28" s="4" t="s">
        <v>50</v>
      </c>
      <c r="C28" s="13" t="s">
        <v>51</v>
      </c>
      <c r="D28" s="13"/>
      <c r="E28" s="13"/>
      <c r="F28" s="13"/>
      <c r="G28" s="14"/>
      <c r="H28" s="14"/>
      <c r="J28" s="11"/>
      <c r="K28" s="11">
        <f>200*142.5</f>
        <v>28500</v>
      </c>
      <c r="M28" s="6"/>
      <c r="N28" s="6"/>
      <c r="O28" s="6"/>
    </row>
    <row r="29" spans="1:15" s="4" customFormat="1" ht="15" x14ac:dyDescent="0.2">
      <c r="B29" s="4" t="s">
        <v>52</v>
      </c>
      <c r="C29" s="13"/>
      <c r="D29" s="13"/>
      <c r="E29" s="13"/>
      <c r="F29" s="13"/>
      <c r="G29" s="14"/>
      <c r="H29" s="14"/>
      <c r="J29" s="11"/>
      <c r="K29" s="11"/>
    </row>
    <row r="30" spans="1:15" s="4" customFormat="1" ht="15.75" x14ac:dyDescent="0.25">
      <c r="A30" s="7"/>
      <c r="B30" s="4" t="s">
        <v>53</v>
      </c>
      <c r="C30" s="15"/>
      <c r="D30" s="15"/>
      <c r="J30" s="9"/>
      <c r="K30" s="9"/>
      <c r="M30" s="6"/>
      <c r="N30" s="6"/>
      <c r="O30" s="6"/>
    </row>
    <row r="31" spans="1:15" s="4" customFormat="1" ht="15.75" x14ac:dyDescent="0.25">
      <c r="A31" s="7"/>
      <c r="B31" s="13"/>
      <c r="C31" s="13"/>
      <c r="D31" s="13"/>
      <c r="J31" s="9"/>
      <c r="K31" s="9"/>
      <c r="M31" s="6"/>
      <c r="N31" s="6"/>
      <c r="O31" s="6"/>
    </row>
    <row r="32" spans="1:15" s="4" customFormat="1" ht="15.75" x14ac:dyDescent="0.25">
      <c r="A32" s="7"/>
      <c r="B32" s="13"/>
      <c r="C32" s="13"/>
      <c r="D32" s="13"/>
      <c r="J32" s="11"/>
      <c r="K32" s="11"/>
      <c r="M32" s="6"/>
      <c r="N32" s="6"/>
      <c r="O32" s="6"/>
    </row>
    <row r="33" spans="1:15" s="4" customFormat="1" ht="15.75" x14ac:dyDescent="0.25">
      <c r="A33" s="7"/>
      <c r="B33" s="13"/>
      <c r="C33" s="13"/>
      <c r="D33" s="13"/>
      <c r="J33" s="11"/>
      <c r="K33" s="11"/>
      <c r="M33" s="6"/>
      <c r="N33" s="6"/>
      <c r="O33" s="6"/>
    </row>
    <row r="34" spans="1:15" s="4" customFormat="1" ht="15" x14ac:dyDescent="0.2">
      <c r="J34" s="11"/>
      <c r="K34" s="11"/>
      <c r="M34" s="6"/>
      <c r="N34" s="6"/>
      <c r="O34" s="6"/>
    </row>
    <row r="35" spans="1:15" s="4" customFormat="1" ht="15.75" x14ac:dyDescent="0.25">
      <c r="A35" s="7" t="s">
        <v>54</v>
      </c>
      <c r="B35" s="8" t="s">
        <v>55</v>
      </c>
      <c r="C35" s="8"/>
      <c r="D35" s="8"/>
      <c r="E35" s="8"/>
      <c r="J35" s="9">
        <f>21050*10+22840*2</f>
        <v>256180</v>
      </c>
      <c r="K35" s="9">
        <f>K36+41711.12+41031.36+39860.26+14984.24+34763.11</f>
        <v>232926.08999999997</v>
      </c>
      <c r="M35" s="6"/>
      <c r="N35" s="6"/>
      <c r="O35" s="6"/>
    </row>
    <row r="36" spans="1:15" s="4" customFormat="1" ht="15" x14ac:dyDescent="0.2">
      <c r="B36" s="4" t="s">
        <v>56</v>
      </c>
      <c r="J36" s="11">
        <f>7570*12</f>
        <v>90840</v>
      </c>
      <c r="K36" s="11">
        <f>15144+22716+0+22716</f>
        <v>60576</v>
      </c>
      <c r="M36" s="6"/>
      <c r="N36" s="6"/>
      <c r="O36" s="6"/>
    </row>
    <row r="37" spans="1:15" s="4" customFormat="1" ht="15.75" x14ac:dyDescent="0.25">
      <c r="A37" s="7" t="s">
        <v>57</v>
      </c>
      <c r="B37" s="8" t="s">
        <v>58</v>
      </c>
      <c r="C37" s="8"/>
      <c r="D37" s="8"/>
      <c r="E37" s="8"/>
      <c r="F37" s="8"/>
      <c r="J37" s="9">
        <f>28830*10+33010*2</f>
        <v>354320</v>
      </c>
      <c r="K37" s="9">
        <f>88568.89+87007.82+100530.27+35396.12+65129.92</f>
        <v>376633.02</v>
      </c>
      <c r="M37" s="6"/>
      <c r="N37" s="6"/>
      <c r="O37" s="6"/>
    </row>
    <row r="38" spans="1:15" s="4" customFormat="1" ht="15" x14ac:dyDescent="0.2">
      <c r="J38" s="11"/>
      <c r="K38" s="11"/>
      <c r="M38" s="6"/>
      <c r="N38" s="6"/>
      <c r="O38" s="6"/>
    </row>
    <row r="39" spans="1:15" s="4" customFormat="1" ht="15.75" x14ac:dyDescent="0.25">
      <c r="A39" s="7" t="s">
        <v>59</v>
      </c>
      <c r="B39" s="7" t="s">
        <v>60</v>
      </c>
      <c r="J39" s="9">
        <f>2600*10+2590*2</f>
        <v>31180</v>
      </c>
      <c r="K39" s="9">
        <f>28032.27+1693.96+0+0</f>
        <v>29726.23</v>
      </c>
      <c r="M39" s="6"/>
      <c r="N39" s="6"/>
      <c r="O39" s="6"/>
    </row>
    <row r="40" spans="1:15" s="4" customFormat="1" ht="15.75" x14ac:dyDescent="0.25">
      <c r="A40" s="7"/>
      <c r="B40" s="7"/>
      <c r="J40" s="9"/>
      <c r="K40" s="9"/>
      <c r="M40" s="6"/>
      <c r="N40" s="6"/>
      <c r="O40" s="6"/>
    </row>
    <row r="41" spans="1:15" s="7" customFormat="1" ht="15.75" x14ac:dyDescent="0.25">
      <c r="A41" s="7" t="s">
        <v>61</v>
      </c>
      <c r="B41" s="7" t="s">
        <v>62</v>
      </c>
      <c r="J41" s="9">
        <f>21350*10+22610*2</f>
        <v>258720</v>
      </c>
      <c r="K41" s="9">
        <f>63996.58+63996.66+64329.32+66666.29</f>
        <v>258988.84999999998</v>
      </c>
      <c r="M41" s="16"/>
      <c r="N41" s="16"/>
      <c r="O41" s="16"/>
    </row>
    <row r="42" spans="1:15" s="4" customFormat="1" ht="15.75" x14ac:dyDescent="0.25">
      <c r="B42" s="7" t="s">
        <v>63</v>
      </c>
      <c r="J42" s="9">
        <f>J4+J11+J19+J24+J35+J37+J39+J41</f>
        <v>1918115.71</v>
      </c>
      <c r="K42" s="9">
        <f>K4+K11+K19+K24+K35+K37+K39+K41</f>
        <v>2325417.29</v>
      </c>
      <c r="M42" s="6"/>
      <c r="N42" s="6"/>
      <c r="O42" s="6"/>
    </row>
    <row r="43" spans="1:15" s="4" customFormat="1" ht="15.75" x14ac:dyDescent="0.25">
      <c r="B43" s="7" t="s">
        <v>64</v>
      </c>
      <c r="J43" s="11">
        <f>ROUND(J42*7/100,2)</f>
        <v>134268.1</v>
      </c>
      <c r="K43" s="11">
        <f>ROUND(K42*7/100,2)</f>
        <v>162779.21</v>
      </c>
      <c r="M43" s="6"/>
      <c r="N43" s="6"/>
      <c r="O43" s="6"/>
    </row>
    <row r="44" spans="1:15" s="4" customFormat="1" ht="15.75" x14ac:dyDescent="0.25">
      <c r="B44" s="8" t="s">
        <v>65</v>
      </c>
      <c r="C44" s="8"/>
      <c r="D44" s="8"/>
      <c r="J44" s="9">
        <f>SUM(J42:J43)</f>
        <v>2052383.81</v>
      </c>
      <c r="K44" s="9">
        <f>SUM(K42:K43)</f>
        <v>2488196.5</v>
      </c>
      <c r="M44" s="6"/>
      <c r="N44" s="6"/>
      <c r="O44" s="6"/>
    </row>
    <row r="45" spans="1:15" s="4" customFormat="1" ht="15.75" x14ac:dyDescent="0.25">
      <c r="B45" s="17"/>
      <c r="C45" s="17"/>
      <c r="D45" s="17"/>
      <c r="J45" s="9"/>
      <c r="K45" s="9"/>
      <c r="M45" s="6"/>
      <c r="N45" s="6"/>
      <c r="O45" s="6"/>
    </row>
    <row r="46" spans="1:15" s="7" customFormat="1" ht="15.75" x14ac:dyDescent="0.25">
      <c r="A46" s="8" t="s">
        <v>66</v>
      </c>
      <c r="B46" s="8"/>
      <c r="C46" s="8"/>
      <c r="D46" s="8"/>
      <c r="J46" s="9"/>
      <c r="K46" s="9">
        <f>510319.5+510319.5+512634.26+524140.12</f>
        <v>2057413.38</v>
      </c>
      <c r="M46" s="16"/>
      <c r="N46" s="16"/>
      <c r="O46" s="16"/>
    </row>
    <row r="47" spans="1:15" s="7" customFormat="1" ht="15.75" x14ac:dyDescent="0.25">
      <c r="A47" s="17"/>
      <c r="B47" s="17"/>
      <c r="C47" s="17"/>
      <c r="D47" s="17"/>
      <c r="J47" s="9"/>
      <c r="K47" s="9"/>
      <c r="M47" s="16"/>
      <c r="N47" s="16"/>
      <c r="O47" s="16"/>
    </row>
    <row r="48" spans="1:15" s="7" customFormat="1" ht="15.75" x14ac:dyDescent="0.25">
      <c r="A48" s="8" t="s">
        <v>67</v>
      </c>
      <c r="B48" s="8"/>
      <c r="C48" s="8"/>
      <c r="D48" s="8"/>
      <c r="E48" s="8"/>
      <c r="F48" s="8"/>
      <c r="J48" s="9"/>
      <c r="K48" s="9">
        <f>486387.69+503149.05+512997.38+532291.02</f>
        <v>2034825.1400000001</v>
      </c>
      <c r="M48" s="16"/>
      <c r="N48" s="16"/>
      <c r="O48" s="16"/>
    </row>
    <row r="49" spans="2:15" s="4" customFormat="1" ht="15" x14ac:dyDescent="0.2">
      <c r="M49" s="6"/>
      <c r="N49" s="6"/>
      <c r="O49" s="6"/>
    </row>
    <row r="50" spans="2:15" s="4" customFormat="1" ht="15" x14ac:dyDescent="0.2">
      <c r="B50" s="4" t="s">
        <v>68</v>
      </c>
      <c r="J50" s="4" t="s">
        <v>69</v>
      </c>
      <c r="M50" s="6"/>
      <c r="N50" s="6"/>
      <c r="O50" s="6"/>
    </row>
    <row r="51" spans="2:15" s="4" customFormat="1" ht="15" x14ac:dyDescent="0.2">
      <c r="M51" s="6"/>
      <c r="N51" s="6"/>
      <c r="O51" s="6"/>
    </row>
    <row r="52" spans="2:15" s="4" customFormat="1" ht="16.5" customHeight="1" x14ac:dyDescent="0.2">
      <c r="B52" s="4" t="s">
        <v>70</v>
      </c>
      <c r="I52" s="18"/>
      <c r="J52" s="18" t="s">
        <v>71</v>
      </c>
      <c r="M52" s="6"/>
      <c r="N52" s="6"/>
      <c r="O52" s="6"/>
    </row>
    <row r="53" spans="2:15" s="4" customFormat="1" ht="15" x14ac:dyDescent="0.2">
      <c r="M53" s="6"/>
      <c r="N53" s="6"/>
      <c r="O53" s="6"/>
    </row>
    <row r="54" spans="2:15" s="4" customFormat="1" ht="15" x14ac:dyDescent="0.2">
      <c r="M54" s="6"/>
      <c r="N54" s="6"/>
      <c r="O54" s="6"/>
    </row>
    <row r="55" spans="2:15" s="4" customFormat="1" ht="15" x14ac:dyDescent="0.2">
      <c r="M55" s="6"/>
      <c r="N55" s="6"/>
      <c r="O55" s="6"/>
    </row>
    <row r="56" spans="2:15" s="4" customFormat="1" ht="15" x14ac:dyDescent="0.2">
      <c r="M56" s="6"/>
      <c r="N56" s="6"/>
      <c r="O56" s="6"/>
    </row>
    <row r="57" spans="2:15" s="4" customFormat="1" ht="15" x14ac:dyDescent="0.2">
      <c r="M57" s="6"/>
      <c r="N57" s="6"/>
      <c r="O57" s="6"/>
    </row>
    <row r="58" spans="2:15" s="4" customFormat="1" ht="15" x14ac:dyDescent="0.2">
      <c r="M58" s="6"/>
      <c r="N58" s="6"/>
      <c r="O58" s="6"/>
    </row>
    <row r="59" spans="2:15" s="4" customFormat="1" ht="15" x14ac:dyDescent="0.2">
      <c r="M59" s="6"/>
      <c r="N59" s="6"/>
      <c r="O59" s="6"/>
    </row>
    <row r="60" spans="2:15" s="4" customFormat="1" ht="15" x14ac:dyDescent="0.2">
      <c r="M60" s="6"/>
      <c r="N60" s="6"/>
      <c r="O60" s="6"/>
    </row>
    <row r="61" spans="2:15" s="4" customFormat="1" ht="15" x14ac:dyDescent="0.2">
      <c r="M61" s="6"/>
      <c r="N61" s="6"/>
      <c r="O61" s="6"/>
    </row>
    <row r="62" spans="2:15" s="4" customFormat="1" ht="15" x14ac:dyDescent="0.2">
      <c r="M62" s="6"/>
      <c r="N62" s="6"/>
      <c r="O62" s="6"/>
    </row>
    <row r="63" spans="2:15" s="4" customFormat="1" ht="15" x14ac:dyDescent="0.2">
      <c r="M63" s="6"/>
      <c r="N63" s="6"/>
      <c r="O63" s="6"/>
    </row>
    <row r="64" spans="2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</sheetData>
  <mergeCells count="23">
    <mergeCell ref="B35:E35"/>
    <mergeCell ref="B37:F37"/>
    <mergeCell ref="B44:D44"/>
    <mergeCell ref="A46:D46"/>
    <mergeCell ref="A48:F48"/>
    <mergeCell ref="B19:H19"/>
    <mergeCell ref="C20:G20"/>
    <mergeCell ref="C21:G21"/>
    <mergeCell ref="C25:D25"/>
    <mergeCell ref="C26:G26"/>
    <mergeCell ref="C27:F27"/>
    <mergeCell ref="B11:F11"/>
    <mergeCell ref="C12:D12"/>
    <mergeCell ref="C13:E13"/>
    <mergeCell ref="C14:F14"/>
    <mergeCell ref="C15:H15"/>
    <mergeCell ref="C16:F16"/>
    <mergeCell ref="A1:K1"/>
    <mergeCell ref="A2:K2"/>
    <mergeCell ref="B4:H4"/>
    <mergeCell ref="C5:F5"/>
    <mergeCell ref="C6:F6"/>
    <mergeCell ref="C7:E7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50-2 им. Петрова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2019-03-26T13:22:37Z</dcterms:created>
  <dcterms:modified xsi:type="dcterms:W3CDTF">2019-03-26T13:24:30Z</dcterms:modified>
</cp:coreProperties>
</file>