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 s="1"/>
  <c r="K28" i="1"/>
  <c r="K27" i="1"/>
  <c r="K26" i="1"/>
  <c r="K25" i="1"/>
  <c r="K24" i="1"/>
  <c r="J24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3" i="1"/>
  <c r="K44" i="1" s="1"/>
  <c r="K50" i="1" s="1"/>
</calcChain>
</file>

<file path=xl/sharedStrings.xml><?xml version="1.0" encoding="utf-8"?>
<sst xmlns="http://schemas.openxmlformats.org/spreadsheetml/2006/main" count="78" uniqueCount="78">
  <si>
    <t xml:space="preserve">ОТЧЁТ по расходам на обслуживание </t>
  </si>
  <si>
    <t xml:space="preserve"> д.31 корп. 1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</si>
  <si>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</si>
  <si>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</si>
  <si>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</si>
  <si>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</si>
  <si>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</si>
  <si>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</si>
  <si>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</si>
  <si>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</si>
  <si>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</si>
  <si>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</si>
  <si>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</si>
  <si>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</si>
  <si>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</si>
  <si>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</si>
  <si>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1.6.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</si>
  <si>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</si>
  <si>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</si>
  <si>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</si>
  <si>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</si>
  <si>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</si>
  <si>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</si>
  <si>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</si>
  <si>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</si>
  <si>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</si>
  <si>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</si>
  <si>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</si>
  <si>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</si>
  <si>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</si>
  <si>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</si>
  <si>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</si>
  <si>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</si>
  <si>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</si>
  <si>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</si>
  <si>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</si>
  <si>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</si>
  <si>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</si>
  <si>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</si>
  <si>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</si>
  <si>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</si>
  <si>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</si>
  <si>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</si>
  <si>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</si>
  <si>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</si>
  <si>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</si>
  <si>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</si>
  <si>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</si>
  <si>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</si>
  <si>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</si>
  <si>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</si>
  <si>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</si>
  <si>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Утепление наружной стены кв. 28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</si>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</sst>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77"/>
  <sheetViews>
    <sheetView tabSelected="1" topLeftCell="A19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42578125" customWidth="1"/>
    <col min="13" max="13" width="15.7109375" style="21" customWidth="1"/>
    <col min="14" max="14" width="14.14062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169583.2</v>
      </c>
      <c r="K4" s="9">
        <f>SUM(K5:K10)</f>
        <v>189152.55000000002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10239*10+10506*2</f>
        <v>123402</v>
      </c>
      <c r="K5" s="11">
        <f>30177.69+40644.75+27219.28+30847.97</f>
        <v>128889.69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24927.200000000001</v>
      </c>
      <c r="K6" s="13">
        <f>ROUND(K5*0.202,2)</f>
        <v>26035.72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289*12</f>
        <v>3468</v>
      </c>
      <c r="K7" s="11">
        <f>2661.96+2560.11+5552.45+1188.26</f>
        <v>11962.78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1211*10+1224*2</f>
        <v>14558</v>
      </c>
      <c r="K8" s="11">
        <f>3691.86+3774.68+4430.98+4245.62</f>
        <v>16143.14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269*12</f>
        <v>3228</v>
      </c>
      <c r="K9" s="11">
        <f>1257.99+589.99+1858.05+2415.19</f>
        <v>6121.2199999999993</v>
      </c>
      <c r="M9" s="6"/>
      <c r="N9" s="6"/>
      <c r="O9" s="6"/>
    </row>
    <row r="10" spans="1:15" s="4" customFormat="1" ht="15" x14ac:dyDescent="0.2">
      <c r="B10" s="4" t="s">
        <v>16</v>
      </c>
      <c r="C10" s="10"/>
      <c r="D10" s="10"/>
      <c r="E10" s="10"/>
      <c r="F10" s="10"/>
      <c r="G10" s="10"/>
      <c r="J10" s="11"/>
      <c r="K10" s="11"/>
      <c r="M10" s="6"/>
      <c r="N10" s="6"/>
      <c r="O10" s="6"/>
    </row>
    <row r="11" spans="1:15" s="4" customFormat="1" ht="15.75" x14ac:dyDescent="0.25">
      <c r="A11" s="7" t="s">
        <v>17</v>
      </c>
      <c r="B11" s="8" t="s">
        <v>18</v>
      </c>
      <c r="C11" s="8"/>
      <c r="D11" s="8"/>
      <c r="E11" s="8"/>
      <c r="F11" s="8"/>
      <c r="J11" s="9">
        <f>SUM(J12:J18)</f>
        <v>129430</v>
      </c>
      <c r="K11" s="9">
        <f>SUM(K12:K18)</f>
        <v>143680.65000000002</v>
      </c>
      <c r="M11" s="6"/>
      <c r="N11" s="6"/>
      <c r="O11" s="6"/>
    </row>
    <row r="12" spans="1:15" s="4" customFormat="1" ht="15" x14ac:dyDescent="0.2">
      <c r="B12" s="14" t="s">
        <v>19</v>
      </c>
      <c r="C12" s="12" t="s">
        <v>20</v>
      </c>
      <c r="D12" s="12"/>
      <c r="E12" s="14"/>
      <c r="F12" s="14"/>
      <c r="J12" s="11">
        <f>3391*10+3425*2</f>
        <v>40760</v>
      </c>
      <c r="K12" s="11">
        <f>11711.29+11438.69+11737.78+11737.78</f>
        <v>46625.54</v>
      </c>
      <c r="M12" s="6"/>
      <c r="N12" s="6"/>
      <c r="O12" s="6"/>
    </row>
    <row r="13" spans="1:15" s="4" customFormat="1" ht="15" x14ac:dyDescent="0.2">
      <c r="B13" s="4" t="s">
        <v>21</v>
      </c>
      <c r="C13" s="12" t="s">
        <v>22</v>
      </c>
      <c r="D13" s="12"/>
      <c r="E13" s="12"/>
      <c r="J13" s="11">
        <f>3416*10+3600*2</f>
        <v>41360</v>
      </c>
      <c r="K13" s="11">
        <f>12252.28+12857.89+13293.41+12757.64</f>
        <v>51161.22</v>
      </c>
      <c r="M13" s="6"/>
      <c r="N13" s="6"/>
      <c r="O13" s="6"/>
    </row>
    <row r="14" spans="1:15" s="4" customFormat="1" ht="15" x14ac:dyDescent="0.2">
      <c r="B14" s="4" t="s">
        <v>23</v>
      </c>
      <c r="C14" s="12" t="s">
        <v>24</v>
      </c>
      <c r="D14" s="12"/>
      <c r="E14" s="12"/>
      <c r="F14" s="12"/>
      <c r="J14" s="11">
        <f>288*12</f>
        <v>3456</v>
      </c>
      <c r="K14" s="11">
        <f>864.15+864.15+864.15+864.15</f>
        <v>3456.6</v>
      </c>
      <c r="M14" s="6"/>
      <c r="N14" s="6"/>
      <c r="O14" s="6"/>
    </row>
    <row r="15" spans="1:15" s="4" customFormat="1" ht="15" x14ac:dyDescent="0.2">
      <c r="B15" s="4" t="s">
        <v>25</v>
      </c>
      <c r="C15" s="12" t="s">
        <v>26</v>
      </c>
      <c r="D15" s="12"/>
      <c r="E15" s="12"/>
      <c r="F15" s="12"/>
      <c r="G15" s="12"/>
      <c r="H15" s="12"/>
      <c r="J15" s="11">
        <f>1403*10+1581*2</f>
        <v>17192</v>
      </c>
      <c r="K15" s="11">
        <f>5283.21+5108.03+5845.82+4687.23</f>
        <v>20924.29</v>
      </c>
      <c r="M15" s="6"/>
      <c r="N15" s="6"/>
      <c r="O15" s="6"/>
    </row>
    <row r="16" spans="1:15" s="4" customFormat="1" ht="15" x14ac:dyDescent="0.2">
      <c r="B16" s="4" t="s">
        <v>27</v>
      </c>
      <c r="C16" s="12" t="s">
        <v>28</v>
      </c>
      <c r="D16" s="12"/>
      <c r="E16" s="12"/>
      <c r="F16" s="12"/>
      <c r="J16" s="11">
        <f>1965*12</f>
        <v>23580</v>
      </c>
      <c r="K16" s="11">
        <f>21513+0+0+0</f>
        <v>21513</v>
      </c>
      <c r="M16" s="6"/>
      <c r="N16" s="6"/>
      <c r="O16" s="6"/>
    </row>
    <row r="17" spans="1:15" s="4" customFormat="1" ht="15" x14ac:dyDescent="0.2">
      <c r="B17" s="4" t="s">
        <v>29</v>
      </c>
      <c r="C17" s="14" t="s">
        <v>30</v>
      </c>
      <c r="D17" s="14"/>
      <c r="E17" s="14"/>
      <c r="F17" s="14"/>
      <c r="J17" s="11">
        <f>140*2</f>
        <v>280</v>
      </c>
      <c r="K17" s="11">
        <v>0</v>
      </c>
    </row>
    <row r="18" spans="1:15" s="4" customFormat="1" ht="15" x14ac:dyDescent="0.2">
      <c r="B18" s="4" t="s">
        <v>31</v>
      </c>
      <c r="C18" s="14" t="s">
        <v>32</v>
      </c>
      <c r="D18" s="14"/>
      <c r="E18" s="14"/>
      <c r="F18" s="14"/>
      <c r="J18" s="11">
        <f>1401*2</f>
        <v>2802</v>
      </c>
      <c r="K18" s="11">
        <v>0</v>
      </c>
    </row>
    <row r="19" spans="1:15" s="4" customFormat="1" ht="15.75" x14ac:dyDescent="0.25">
      <c r="A19" s="7" t="s">
        <v>33</v>
      </c>
      <c r="B19" s="8" t="s">
        <v>34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35</v>
      </c>
      <c r="C20" s="12" t="s">
        <v>36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37</v>
      </c>
      <c r="C21" s="12" t="s">
        <v>38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39</v>
      </c>
      <c r="C22" s="4" t="s">
        <v>40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41</v>
      </c>
      <c r="B24" s="15" t="s">
        <v>42</v>
      </c>
      <c r="C24" s="15"/>
      <c r="D24" s="15"/>
      <c r="J24" s="9">
        <f>22030*10+20760*2</f>
        <v>261820</v>
      </c>
      <c r="K24" s="9">
        <f>SUM(K25:K29)</f>
        <v>278287.02999999997</v>
      </c>
      <c r="M24" s="6"/>
      <c r="N24" s="6"/>
      <c r="O24" s="6"/>
    </row>
    <row r="25" spans="1:15" s="4" customFormat="1" ht="15" x14ac:dyDescent="0.2">
      <c r="B25" s="4" t="s">
        <v>43</v>
      </c>
      <c r="C25" s="10" t="s">
        <v>44</v>
      </c>
      <c r="D25" s="10"/>
      <c r="J25" s="11"/>
      <c r="K25" s="11">
        <f>13916.18+19385.24+126760.81+30536.87</f>
        <v>190599.09999999998</v>
      </c>
      <c r="M25" s="6"/>
      <c r="N25" s="6"/>
      <c r="O25" s="6"/>
    </row>
    <row r="26" spans="1:15" s="4" customFormat="1" ht="15" x14ac:dyDescent="0.2">
      <c r="B26" s="4" t="s">
        <v>45</v>
      </c>
      <c r="C26" s="12" t="s">
        <v>46</v>
      </c>
      <c r="D26" s="12"/>
      <c r="E26" s="12"/>
      <c r="F26" s="12"/>
      <c r="G26" s="12"/>
      <c r="J26" s="11"/>
      <c r="K26" s="11">
        <f>13632.54+13413.31+9575.24+13182.44</f>
        <v>49803.53</v>
      </c>
      <c r="M26" s="6"/>
      <c r="N26" s="6"/>
      <c r="O26" s="6"/>
    </row>
    <row r="27" spans="1:15" s="4" customFormat="1" ht="15" x14ac:dyDescent="0.2">
      <c r="B27" s="4" t="s">
        <v>47</v>
      </c>
      <c r="C27" s="12" t="s">
        <v>48</v>
      </c>
      <c r="D27" s="12"/>
      <c r="E27" s="12"/>
      <c r="F27" s="12"/>
      <c r="G27" s="10"/>
      <c r="H27" s="10"/>
      <c r="J27" s="11"/>
      <c r="K27" s="11">
        <f>4277.9+3245.6+4129.48+3231.42</f>
        <v>14884.4</v>
      </c>
      <c r="M27" s="6"/>
      <c r="N27" s="6"/>
      <c r="O27" s="6"/>
    </row>
    <row r="28" spans="1:15" s="4" customFormat="1" ht="15" x14ac:dyDescent="0.2">
      <c r="B28" s="4" t="s">
        <v>49</v>
      </c>
      <c r="C28" s="14" t="s">
        <v>50</v>
      </c>
      <c r="D28" s="14"/>
      <c r="E28" s="14"/>
      <c r="F28" s="14"/>
      <c r="G28" s="10"/>
      <c r="H28" s="10"/>
      <c r="J28" s="11"/>
      <c r="K28" s="11">
        <f>185*0</f>
        <v>0</v>
      </c>
      <c r="M28" s="6"/>
      <c r="N28" s="6"/>
      <c r="O28" s="6"/>
    </row>
    <row r="29" spans="1:15" s="4" customFormat="1" ht="15" x14ac:dyDescent="0.2">
      <c r="B29" s="4" t="s">
        <v>51</v>
      </c>
      <c r="C29" s="14" t="s">
        <v>52</v>
      </c>
      <c r="D29" s="14"/>
      <c r="E29" s="14"/>
      <c r="F29" s="14"/>
      <c r="G29" s="10"/>
      <c r="H29" s="10"/>
      <c r="J29" s="11"/>
      <c r="K29" s="11">
        <v>23000</v>
      </c>
    </row>
    <row r="30" spans="1:15" s="4" customFormat="1" ht="15" x14ac:dyDescent="0.2">
      <c r="B30" s="4" t="s">
        <v>53</v>
      </c>
      <c r="C30" s="14"/>
      <c r="D30" s="14"/>
      <c r="E30" s="14"/>
      <c r="F30" s="14"/>
      <c r="G30" s="10"/>
      <c r="H30" s="10"/>
      <c r="J30" s="11"/>
      <c r="K30" s="11"/>
    </row>
    <row r="31" spans="1:15" s="4" customFormat="1" ht="15.75" x14ac:dyDescent="0.25">
      <c r="A31" s="7" t="s">
        <v>54</v>
      </c>
      <c r="B31" s="15" t="s">
        <v>55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56</v>
      </c>
      <c r="C32" s="10" t="s">
        <v>57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58</v>
      </c>
      <c r="C33" s="10" t="s">
        <v>59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60</v>
      </c>
      <c r="B35" s="8" t="s">
        <v>61</v>
      </c>
      <c r="C35" s="8"/>
      <c r="D35" s="8"/>
      <c r="E35" s="8"/>
      <c r="J35" s="9">
        <f>4390*12</f>
        <v>52680</v>
      </c>
      <c r="K35" s="9">
        <f>13543.85+13523.12+12942.86+4865.47+10718.83</f>
        <v>55594.130000000005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62</v>
      </c>
      <c r="B37" s="8" t="s">
        <v>63</v>
      </c>
      <c r="C37" s="8"/>
      <c r="D37" s="8"/>
      <c r="E37" s="8"/>
      <c r="F37" s="8"/>
      <c r="J37" s="9">
        <f>7820*12</f>
        <v>93840</v>
      </c>
      <c r="K37" s="9">
        <f>24027.6+23604.1+27272.57+9602.51+15463.44</f>
        <v>99970.219999999987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64</v>
      </c>
      <c r="B39" s="7" t="s">
        <v>65</v>
      </c>
      <c r="J39" s="9">
        <f>1320*12</f>
        <v>15840</v>
      </c>
      <c r="K39" s="9">
        <f>14252.05+861.23+0+0</f>
        <v>15113.279999999999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66</v>
      </c>
      <c r="B41" s="7" t="s">
        <v>67</v>
      </c>
      <c r="J41" s="9">
        <f>7530*10+7940*2</f>
        <v>91180</v>
      </c>
      <c r="K41" s="9">
        <f>22550.15+22550.19+21910.49+23382.08</f>
        <v>90392.91</v>
      </c>
      <c r="M41" s="16"/>
      <c r="N41" s="16"/>
      <c r="O41" s="16"/>
    </row>
    <row r="42" spans="1:15" s="4" customFormat="1" ht="15.75" x14ac:dyDescent="0.25">
      <c r="B42" s="7" t="s">
        <v>68</v>
      </c>
      <c r="J42" s="9">
        <f>J4+J11+J19+J24+J28+J35+J37+J39+J41</f>
        <v>814373.2</v>
      </c>
      <c r="K42" s="9">
        <f>K4+K11+K19+K24+K31+K35+K37+K39+K41</f>
        <v>872190.77</v>
      </c>
      <c r="M42" s="6"/>
      <c r="N42" s="6"/>
      <c r="O42" s="6"/>
    </row>
    <row r="43" spans="1:15" s="4" customFormat="1" ht="15.75" x14ac:dyDescent="0.25">
      <c r="B43" s="7" t="s">
        <v>69</v>
      </c>
      <c r="J43" s="11">
        <f>ROUND(J42*7/100,2)</f>
        <v>57006.12</v>
      </c>
      <c r="K43" s="11">
        <f>ROUND(K42*7/100,2)</f>
        <v>61053.35</v>
      </c>
      <c r="M43" s="6"/>
      <c r="N43" s="6"/>
      <c r="O43" s="6"/>
    </row>
    <row r="44" spans="1:15" s="4" customFormat="1" ht="15.75" x14ac:dyDescent="0.25">
      <c r="B44" s="8" t="s">
        <v>70</v>
      </c>
      <c r="C44" s="8"/>
      <c r="D44" s="8"/>
      <c r="J44" s="9">
        <f>SUM(J42:J43)</f>
        <v>871379.32</v>
      </c>
      <c r="K44" s="9">
        <f>SUM(K42:K43)</f>
        <v>933244.12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71</v>
      </c>
      <c r="B46" s="8"/>
      <c r="C46" s="8"/>
      <c r="D46" s="8"/>
      <c r="J46" s="9"/>
      <c r="K46" s="9">
        <f>211712.61+211712.61+212565.09+217585.69</f>
        <v>853576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72</v>
      </c>
      <c r="B48" s="8"/>
      <c r="C48" s="8"/>
      <c r="D48" s="8"/>
      <c r="E48" s="8"/>
      <c r="F48" s="8"/>
      <c r="J48" s="9"/>
      <c r="K48" s="9">
        <f>196345.43+206896.96+205892.72+226957.87</f>
        <v>836092.98</v>
      </c>
      <c r="M48" s="16"/>
      <c r="N48" s="16"/>
      <c r="O48" s="16"/>
    </row>
    <row r="49" spans="1:15" s="4" customFormat="1" ht="15.75" x14ac:dyDescent="0.25">
      <c r="A49" s="7" t="s">
        <v>73</v>
      </c>
      <c r="K49" s="18">
        <f>4098.91+2634.16+4302.84+3677.1</f>
        <v>14713.01</v>
      </c>
      <c r="M49" s="6"/>
      <c r="N49" s="6"/>
      <c r="O49" s="6"/>
    </row>
    <row r="50" spans="1:15" s="4" customFormat="1" ht="15.75" x14ac:dyDescent="0.25">
      <c r="A50" s="7" t="s">
        <v>74</v>
      </c>
      <c r="K50" s="19">
        <f>K48+K49-K44</f>
        <v>-82438.13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75</v>
      </c>
      <c r="J52" s="4" t="s">
        <v>76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77</v>
      </c>
      <c r="I54" s="20"/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2019-03-26T13:25:41Z</dcterms:modified>
</cp:coreProperties>
</file>