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58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/>
  <c r="K28" i="1"/>
  <c r="K27" i="1"/>
  <c r="K26" i="1"/>
  <c r="K25" i="1"/>
  <c r="K24" i="1" s="1"/>
  <c r="J24" i="1"/>
  <c r="K19" i="1"/>
  <c r="J19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K43" i="1" l="1"/>
  <c r="K44" i="1" s="1"/>
  <c r="K50" i="1" s="1"/>
  <c r="J44" i="1"/>
  <c r="J43" i="1"/>
</calcChain>
</file>

<file path=xl/sharedStrings.xml><?xml version="1.0" encoding="utf-8"?>
<sst xmlns="http://schemas.openxmlformats.org/spreadsheetml/2006/main" count="76" uniqueCount="76">
  <si>
    <t xml:space="preserve">ОТЧЁТ по расходам на обслуживание </t>
  </si>
  <si>
    <t xml:space="preserve"> д.58 корп. 1 по ул. Новоселов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</si>
  <si>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</si>
  <si>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</si>
  <si>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</si>
  <si>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</si>
  <si>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</si>
  <si>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</si>
  <si>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</si>
  <si>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</si>
  <si>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</si>
  <si>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</si>
  <si>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</si>
  <si>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</si>
  <si>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</si>
  <si>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</si>
  <si>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</si>
  <si>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</si>
  <si>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</si>
  <si>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</si>
  <si>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</si>
  <si>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</si>
  <si>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</si>
  <si>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</si>
  <si>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</si>
  <si>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</si>
  <si>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</si>
  <si>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</si>
  <si>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</si>
  <si>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</si>
  <si>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</si>
  <si>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</si>
  <si>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</si>
  <si>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</si>
  <si>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</si>
  <si>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</si>
  <si>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</si>
  <si>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</si>
  <si>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</si>
  <si>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</si>
  <si>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</si>
  <si>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</si>
  <si>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</si>
  <si>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</si>
  <si>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</si>
  <si>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</si>
  <si>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</si>
  <si>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</si>
  <si>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</si>
  <si>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</si>
  <si>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</si>
  <si>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</si>
  <si>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</si>
  <si>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</si>
  <si>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</si>
  <si>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</si>
  <si>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</si>
  <si>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</si>
  <si>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</si>
  <si>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</si>
  <si>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</si>
  <si>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</si>
  <si>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</si>
  <si>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</si>
  <si>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</si>
  <si>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</si>
  <si>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</si>
  <si>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</si>
  <si>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</si>
  <si>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</si>
  <si>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</si>
  <si>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</si>
  <si>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</si>
  <si>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</si>
  <si>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</si>
  <si>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Кузина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</si>
</sst>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O177"/>
  <sheetViews>
    <sheetView tabSelected="1" topLeftCell="A23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7109375" customWidth="1"/>
    <col min="13" max="13" width="16.140625" style="21" bestFit="1" customWidth="1"/>
    <col min="14" max="14" width="12.7109375" style="21" customWidth="1"/>
    <col min="15" max="15" width="9.140625" style="2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169649.88</v>
      </c>
      <c r="K4" s="9">
        <f>SUM(K5:K9)</f>
        <v>181721.83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10247*10+10235*2</f>
        <v>122940</v>
      </c>
      <c r="K5" s="11">
        <f>30024.35+29948.37+37733.62+27155.74</f>
        <v>124862.08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24833.88</v>
      </c>
      <c r="K6" s="13">
        <f>ROUND(K5*0.202,2)</f>
        <v>25222.14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289*12</f>
        <v>3468</v>
      </c>
      <c r="K7" s="11">
        <f>3075.31+3566.61+1668.5+316.92</f>
        <v>8627.34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1266*10+1260*2</f>
        <v>15180</v>
      </c>
      <c r="K8" s="11">
        <f>3859.67+3946.26+4632.39+4438.59</f>
        <v>16876.91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269*12</f>
        <v>3228</v>
      </c>
      <c r="K9" s="11">
        <f>1260.48+591.16+1861.73+2419.99</f>
        <v>6133.36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130468</v>
      </c>
      <c r="K11" s="9">
        <f>SUM(K12:K18)</f>
        <v>143567.33000000002</v>
      </c>
      <c r="M11" s="6"/>
      <c r="N11" s="6"/>
      <c r="O11" s="6"/>
    </row>
    <row r="12" spans="1:15" s="4" customFormat="1" ht="15" x14ac:dyDescent="0.2">
      <c r="B12" s="14" t="s">
        <v>18</v>
      </c>
      <c r="C12" s="12" t="s">
        <v>19</v>
      </c>
      <c r="D12" s="12"/>
      <c r="E12" s="14"/>
      <c r="F12" s="14"/>
      <c r="J12" s="11">
        <f>3545*10+3528*2</f>
        <v>42506</v>
      </c>
      <c r="K12" s="11">
        <f>12243.62+11958.62+12271.31+12271.31</f>
        <v>48744.86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3571*10+3708*2</f>
        <v>43126</v>
      </c>
      <c r="K13" s="11">
        <f>12809.21+13442.34+13897.67+13337.53</f>
        <v>53486.75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290*12</f>
        <v>3480</v>
      </c>
      <c r="K14" s="11">
        <f>868.98+868.98+868.98+868.98</f>
        <v>3475.92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1405*10+1584*2</f>
        <v>17218</v>
      </c>
      <c r="K15" s="11">
        <f>5293.7+5118.16+5857.41+4696.53</f>
        <v>20965.8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0+16894+0+0</f>
        <v>16894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141*2</f>
        <v>282</v>
      </c>
      <c r="K17" s="11">
        <v>0</v>
      </c>
    </row>
    <row r="18" spans="1:15" s="4" customFormat="1" ht="15" x14ac:dyDescent="0.2">
      <c r="B18" s="4" t="s">
        <v>30</v>
      </c>
      <c r="C18" s="14"/>
      <c r="D18" s="14"/>
      <c r="E18" s="14"/>
      <c r="F18" s="14"/>
      <c r="J18" s="11"/>
      <c r="K18" s="11"/>
      <c r="M18" s="6"/>
      <c r="N18" s="6"/>
      <c r="O18" s="6"/>
    </row>
    <row r="19" spans="1:15" s="4" customFormat="1" ht="15.75" x14ac:dyDescent="0.25">
      <c r="A19" s="7" t="s">
        <v>31</v>
      </c>
      <c r="B19" s="8" t="s">
        <v>32</v>
      </c>
      <c r="C19" s="8"/>
      <c r="D19" s="8"/>
      <c r="E19" s="8"/>
      <c r="F19" s="8"/>
      <c r="G19" s="8"/>
      <c r="H19" s="8"/>
      <c r="J19" s="9">
        <f>SUM(J20:J22)</f>
        <v>0</v>
      </c>
      <c r="K19" s="9">
        <f>SUM(K20:K22)</f>
        <v>0</v>
      </c>
      <c r="M19" s="6"/>
      <c r="N19" s="6"/>
      <c r="O19" s="6"/>
    </row>
    <row r="20" spans="1:15" s="4" customFormat="1" ht="15" x14ac:dyDescent="0.2">
      <c r="B20" s="14" t="s">
        <v>33</v>
      </c>
      <c r="C20" s="12" t="s">
        <v>34</v>
      </c>
      <c r="D20" s="12"/>
      <c r="E20" s="12"/>
      <c r="F20" s="12"/>
      <c r="G20" s="12"/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B21" s="14" t="s">
        <v>35</v>
      </c>
      <c r="C21" s="12" t="s">
        <v>36</v>
      </c>
      <c r="D21" s="12"/>
      <c r="E21" s="12"/>
      <c r="F21" s="12"/>
      <c r="G21" s="12"/>
      <c r="H21" s="10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4" t="s">
        <v>37</v>
      </c>
      <c r="C22" s="4" t="s">
        <v>38</v>
      </c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J23" s="11"/>
      <c r="K23" s="11"/>
      <c r="M23" s="6"/>
      <c r="N23" s="6"/>
      <c r="O23" s="6"/>
    </row>
    <row r="24" spans="1:15" s="4" customFormat="1" ht="15.75" x14ac:dyDescent="0.25">
      <c r="A24" s="7" t="s">
        <v>39</v>
      </c>
      <c r="B24" s="15" t="s">
        <v>40</v>
      </c>
      <c r="C24" s="15"/>
      <c r="D24" s="15"/>
      <c r="J24" s="9">
        <f>20580*12</f>
        <v>246960</v>
      </c>
      <c r="K24" s="9">
        <f>SUM(K25:K29)</f>
        <v>235728.95000000004</v>
      </c>
      <c r="M24" s="6"/>
      <c r="N24" s="6"/>
      <c r="O24" s="6"/>
    </row>
    <row r="25" spans="1:15" s="4" customFormat="1" ht="15" x14ac:dyDescent="0.2">
      <c r="B25" s="4" t="s">
        <v>41</v>
      </c>
      <c r="C25" s="10" t="s">
        <v>42</v>
      </c>
      <c r="D25" s="10"/>
      <c r="J25" s="11"/>
      <c r="K25" s="11">
        <f>24430.08+22867.17+107057.2+6929.92</f>
        <v>161284.37000000002</v>
      </c>
      <c r="M25" s="6"/>
      <c r="N25" s="6"/>
      <c r="O25" s="6"/>
    </row>
    <row r="26" spans="1:15" s="4" customFormat="1" ht="15" x14ac:dyDescent="0.2">
      <c r="B26" s="4" t="s">
        <v>43</v>
      </c>
      <c r="C26" s="12" t="s">
        <v>44</v>
      </c>
      <c r="D26" s="12"/>
      <c r="E26" s="12"/>
      <c r="F26" s="12"/>
      <c r="G26" s="12"/>
      <c r="J26" s="11"/>
      <c r="K26" s="11">
        <f>13550.09+10615.21+12258.7+13466.63</f>
        <v>49890.63</v>
      </c>
      <c r="M26" s="6"/>
      <c r="N26" s="6"/>
      <c r="O26" s="6"/>
    </row>
    <row r="27" spans="1:15" s="4" customFormat="1" ht="15" x14ac:dyDescent="0.2">
      <c r="B27" s="4" t="s">
        <v>45</v>
      </c>
      <c r="C27" s="12" t="s">
        <v>46</v>
      </c>
      <c r="D27" s="12"/>
      <c r="E27" s="12"/>
      <c r="F27" s="12"/>
      <c r="G27" s="10"/>
      <c r="H27" s="10"/>
      <c r="J27" s="11"/>
      <c r="K27" s="11">
        <f>4286.39+3252.05+4137.68+3237.83</f>
        <v>14913.95</v>
      </c>
      <c r="M27" s="6"/>
      <c r="N27" s="6"/>
      <c r="O27" s="6"/>
    </row>
    <row r="28" spans="1:15" s="4" customFormat="1" ht="15" x14ac:dyDescent="0.2">
      <c r="B28" s="4" t="s">
        <v>47</v>
      </c>
      <c r="C28" s="14" t="s">
        <v>48</v>
      </c>
      <c r="D28" s="14"/>
      <c r="E28" s="14"/>
      <c r="F28" s="14"/>
      <c r="G28" s="10"/>
      <c r="H28" s="10"/>
      <c r="J28" s="11"/>
      <c r="K28" s="11">
        <f>200*48.2</f>
        <v>9640</v>
      </c>
      <c r="M28" s="6"/>
      <c r="N28" s="6"/>
      <c r="O28" s="6"/>
    </row>
    <row r="29" spans="1:15" s="4" customFormat="1" ht="15" x14ac:dyDescent="0.2">
      <c r="B29" s="4" t="s">
        <v>49</v>
      </c>
      <c r="C29" s="14"/>
      <c r="D29" s="14"/>
      <c r="E29" s="14"/>
      <c r="F29" s="14"/>
      <c r="G29" s="10"/>
      <c r="H29" s="10"/>
      <c r="J29" s="11"/>
      <c r="K29" s="11"/>
    </row>
    <row r="30" spans="1:15" s="4" customFormat="1" ht="15" x14ac:dyDescent="0.2">
      <c r="B30" s="4" t="s">
        <v>50</v>
      </c>
      <c r="C30" s="14"/>
      <c r="D30" s="14"/>
      <c r="E30" s="14"/>
      <c r="F30" s="14"/>
      <c r="G30" s="10"/>
      <c r="H30" s="10"/>
      <c r="J30" s="11"/>
      <c r="K30" s="11"/>
    </row>
    <row r="31" spans="1:15" s="4" customFormat="1" ht="15.75" x14ac:dyDescent="0.25">
      <c r="A31" s="7" t="s">
        <v>51</v>
      </c>
      <c r="B31" s="15" t="s">
        <v>52</v>
      </c>
      <c r="C31" s="15"/>
      <c r="D31" s="15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53</v>
      </c>
      <c r="C32" s="10" t="s">
        <v>54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55</v>
      </c>
      <c r="C33" s="10" t="s">
        <v>56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5"/>
      <c r="C34" s="15"/>
      <c r="D34" s="15"/>
      <c r="J34" s="9"/>
      <c r="K34" s="9"/>
      <c r="M34" s="6"/>
      <c r="N34" s="6"/>
      <c r="O34" s="6"/>
    </row>
    <row r="35" spans="1:15" s="4" customFormat="1" ht="15.75" x14ac:dyDescent="0.25">
      <c r="A35" s="7" t="s">
        <v>57</v>
      </c>
      <c r="B35" s="8" t="s">
        <v>58</v>
      </c>
      <c r="C35" s="8"/>
      <c r="D35" s="8"/>
      <c r="E35" s="8"/>
      <c r="J35" s="9">
        <f>4400*12</f>
        <v>52800</v>
      </c>
      <c r="K35" s="9">
        <f>13641.99+13419.67+13036.65+4900.73+10728.83</f>
        <v>55727.869999999995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59</v>
      </c>
      <c r="B37" s="8" t="s">
        <v>60</v>
      </c>
      <c r="C37" s="8"/>
      <c r="D37" s="8"/>
      <c r="E37" s="8"/>
      <c r="F37" s="8"/>
      <c r="J37" s="9">
        <f>9340*10+9610*2</f>
        <v>112620</v>
      </c>
      <c r="K37" s="9">
        <f>28587.58+28083.71+32448.39+11424.89+19001.69</f>
        <v>119546.26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61</v>
      </c>
      <c r="B39" s="7" t="s">
        <v>62</v>
      </c>
      <c r="J39" s="9">
        <f>1320*12</f>
        <v>15840</v>
      </c>
      <c r="K39" s="9">
        <f>14280.33+862.94+0+0</f>
        <v>15143.27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63</v>
      </c>
      <c r="B41" s="7" t="s">
        <v>64</v>
      </c>
      <c r="J41" s="9">
        <f>7530*10+7940*2</f>
        <v>91180</v>
      </c>
      <c r="K41" s="9">
        <f>22550.15+22550.19+21910.49+23382.08</f>
        <v>90392.91</v>
      </c>
      <c r="M41" s="16"/>
      <c r="N41" s="16"/>
      <c r="O41" s="16"/>
    </row>
    <row r="42" spans="1:15" s="4" customFormat="1" ht="15.75" x14ac:dyDescent="0.25">
      <c r="B42" s="7" t="s">
        <v>65</v>
      </c>
      <c r="J42" s="9">
        <f>J4+J11+J19+J24+J31+J35+J37+J39+J41</f>
        <v>819517.88</v>
      </c>
      <c r="K42" s="9">
        <f>K4+K11+K19+K24+K31+K35+K37+K39+K41</f>
        <v>841828.42000000016</v>
      </c>
      <c r="M42" s="6"/>
      <c r="N42" s="6"/>
      <c r="O42" s="6"/>
    </row>
    <row r="43" spans="1:15" s="4" customFormat="1" ht="15.75" x14ac:dyDescent="0.25">
      <c r="B43" s="7" t="s">
        <v>66</v>
      </c>
      <c r="J43" s="11">
        <f>ROUND(J42*7/100,2)</f>
        <v>57366.25</v>
      </c>
      <c r="K43" s="11">
        <f>ROUND(K42*7/100,2)</f>
        <v>58927.99</v>
      </c>
      <c r="M43" s="6"/>
      <c r="N43" s="6"/>
      <c r="O43" s="6"/>
    </row>
    <row r="44" spans="1:15" s="4" customFormat="1" ht="15.75" x14ac:dyDescent="0.25">
      <c r="B44" s="8" t="s">
        <v>67</v>
      </c>
      <c r="C44" s="8"/>
      <c r="D44" s="8"/>
      <c r="J44" s="9">
        <f>SUM(J42:J43)</f>
        <v>876884.13</v>
      </c>
      <c r="K44" s="9">
        <f>SUM(K42:K43)</f>
        <v>900756.41000000015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7" customFormat="1" ht="15.75" x14ac:dyDescent="0.25">
      <c r="A46" s="8" t="s">
        <v>68</v>
      </c>
      <c r="B46" s="8"/>
      <c r="C46" s="8"/>
      <c r="D46" s="8"/>
      <c r="J46" s="9"/>
      <c r="K46" s="9">
        <f>212123.85+212119.38+212831.91+217861.51</f>
        <v>854936.65</v>
      </c>
      <c r="M46" s="16"/>
      <c r="N46" s="16"/>
      <c r="O46" s="16"/>
    </row>
    <row r="47" spans="1:15" s="7" customFormat="1" ht="15.75" x14ac:dyDescent="0.25">
      <c r="A47" s="17"/>
      <c r="B47" s="17"/>
      <c r="C47" s="17"/>
      <c r="D47" s="17"/>
      <c r="J47" s="9"/>
      <c r="K47" s="9"/>
      <c r="M47" s="16"/>
      <c r="N47" s="16"/>
      <c r="O47" s="16"/>
    </row>
    <row r="48" spans="1:15" s="7" customFormat="1" ht="15.75" x14ac:dyDescent="0.25">
      <c r="A48" s="8" t="s">
        <v>69</v>
      </c>
      <c r="B48" s="8"/>
      <c r="C48" s="8"/>
      <c r="D48" s="8"/>
      <c r="E48" s="8"/>
      <c r="F48" s="8"/>
      <c r="J48" s="9"/>
      <c r="K48" s="9">
        <f>212890.42+222795.34+222211.19+223960.45</f>
        <v>881857.39999999991</v>
      </c>
      <c r="M48" s="16"/>
      <c r="N48" s="16"/>
      <c r="O48" s="16"/>
    </row>
    <row r="49" spans="1:15" s="4" customFormat="1" ht="15.75" x14ac:dyDescent="0.25">
      <c r="A49" s="7" t="s">
        <v>70</v>
      </c>
      <c r="K49" s="18">
        <f>4101.73+2637.49+4305.15+3680.7</f>
        <v>14725.07</v>
      </c>
      <c r="M49" s="6"/>
      <c r="N49" s="6"/>
      <c r="O49" s="6"/>
    </row>
    <row r="50" spans="1:15" s="4" customFormat="1" ht="15.75" x14ac:dyDescent="0.25">
      <c r="A50" s="7" t="s">
        <v>71</v>
      </c>
      <c r="K50" s="19">
        <f>K48+K49-K44</f>
        <v>-4173.9400000002934</v>
      </c>
      <c r="M50" s="6"/>
      <c r="N50" s="6"/>
      <c r="O50" s="6"/>
    </row>
    <row r="51" spans="1:15" s="4" customFormat="1" ht="15" x14ac:dyDescent="0.2">
      <c r="M51" s="6"/>
      <c r="N51" s="6"/>
      <c r="O51" s="6"/>
    </row>
    <row r="52" spans="1:15" s="4" customFormat="1" ht="15" x14ac:dyDescent="0.2">
      <c r="B52" s="4" t="s">
        <v>72</v>
      </c>
      <c r="J52" s="4" t="s">
        <v>73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74</v>
      </c>
      <c r="I54" s="20"/>
      <c r="J54" s="20" t="s">
        <v>75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2019-03-26T13:22:38Z</dcterms:created>
  <dcterms:modified xsi:type="dcterms:W3CDTF">2019-03-26T13:23:35Z</dcterms:modified>
</cp:coreProperties>
</file>