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31 &quot;А&quot;Аэрофлот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6" i="1"/>
  <c r="K41" i="1"/>
  <c r="J41" i="1"/>
  <c r="K39" i="1"/>
  <c r="J39" i="1"/>
  <c r="K37" i="1"/>
  <c r="J37" i="1"/>
  <c r="K36" i="1"/>
  <c r="K35" i="1" s="1"/>
  <c r="J35" i="1"/>
  <c r="K28" i="1"/>
  <c r="K27" i="1"/>
  <c r="K26" i="1"/>
  <c r="K25" i="1"/>
  <c r="K24" i="1" s="1"/>
  <c r="J24" i="1"/>
  <c r="K22" i="1"/>
  <c r="J22" i="1"/>
  <c r="K21" i="1"/>
  <c r="J21" i="1"/>
  <c r="K20" i="1"/>
  <c r="J20" i="1"/>
  <c r="K19" i="1"/>
  <c r="J19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J5" i="1"/>
  <c r="J6" i="1" s="1"/>
  <c r="J4" i="1" s="1"/>
  <c r="J42" i="1" s="1"/>
  <c r="J44" i="1" l="1"/>
  <c r="J43" i="1"/>
  <c r="K42" i="1"/>
  <c r="K43" i="1" l="1"/>
  <c r="K44" i="1" s="1"/>
</calcChain>
</file>

<file path=xl/sharedStrings.xml><?xml version="1.0" encoding="utf-8"?>
<sst xmlns="http://schemas.openxmlformats.org/spreadsheetml/2006/main" count="71" uniqueCount="71">
  <si>
    <t xml:space="preserve">ОТЧЁТ по расходам на обслуживание </t>
  </si>
  <si>
    <t>ЖСК "Аэрофлот", ул. Зубковой д. 31 "А"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</si>
  <si>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</si>
  <si>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</si>
  <si>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</si>
  <si>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</si>
  <si>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</si>
  <si>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</si>
  <si>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</si>
  <si>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</si>
  <si>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</si>
  <si>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</si>
  <si>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</si>
  <si>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</si>
  <si>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</si>
  <si>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</si>
  <si>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</si>
  <si>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</si>
  <si>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</si>
  <si>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</si>
  <si>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</si>
  <si>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</si>
  <si>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</si>
  <si>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</si>
  <si>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</si>
  <si>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</si>
  <si>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</si>
  <si>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</si>
  <si>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</si>
  <si>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</si>
  <si>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</si>
  <si>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</si>
  <si>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</si>
  <si>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</si>
  <si>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</si>
  <si>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</si>
  <si>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</si>
  <si>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</si>
  <si>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</si>
  <si>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</si>
  <si>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лифтов, отраб. срок служ.</t>
  </si>
  <si>
    <t>4.</t>
  </si>
  <si>
    <t>Тех. обслуж. и тек. ремонт общедом. имущества</t>
  </si>
  <si>
    <t>4.1.</t>
  </si>
  <si>
    <t>ППР (акты Ф-2)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</si>
  <si>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</si>
  <si>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</si>
  <si>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</si>
  <si>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</si>
  <si>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</si>
  <si>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</si>
  <si>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</si>
  <si>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</si>
  <si>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</si>
  <si>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Прочие прямые затраты:</t>
  </si>
  <si>
    <t>в том числе вознаграждение председ. правл. ЖСК</t>
  </si>
  <si>
    <t>6.</t>
  </si>
  <si>
    <t>Общеэксплуатационные расходы:</t>
  </si>
  <si>
    <t>7.</t>
  </si>
  <si>
    <t>Внеэксплуатационные расходы:</t>
  </si>
  <si>
    <t>8.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</si>
  <si>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</si>
  <si>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</si>
  <si>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</si>
  <si>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</si>
  <si>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</si>
  <si>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</si>
  <si>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Директор ООО "Вектор Плюс"</t>
  </si>
  <si>
    <t>Радин В. Е.</t>
  </si>
  <si>
    <t>Председатель ЖСК "Аэрофлот"</t>
  </si>
  <si>
    <t>Шишков К.А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</si>
</sst>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>
      <alignment horizontal="left"/>
    </xf>
    <xf numFmtId="164" fontId="2" fillId="0" borderId="1" xfId="0" applyNumberFormat="1" applyFont="1" applyBorder="1"/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Alignment="1"/>
    <xf numFmtId="0" fontId="2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164" fontId="2" fillId="0" borderId="0" xfId="0" applyNumberFormat="1" applyFont="1"/>
    <xf numFmtId="0" fontId="4" fillId="0" borderId="0" xfId="0" applyFont="1"/>
    <xf numFmtId="164" fontId="4" fillId="0" borderId="0" xfId="0" applyNumberFormat="1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O175"/>
  <sheetViews>
    <sheetView tabSelected="1" topLeftCell="A24" workbookViewId="0">
      <selection activeCell="L1" sqref="L1:M65536"/>
    </sheetView>
  </sheetViews>
  <sheetFormatPr defaultRowHeight="12.75" x14ac:dyDescent="0.2"/>
  <cols>
    <col min="1" max="1" width="2.42578125" customWidth="1"/>
    <col min="2" max="2" width="4.140625" customWidth="1"/>
    <col min="3" max="7" width="8.5703125" customWidth="1"/>
    <col min="8" max="8" width="7.42578125" customWidth="1"/>
    <col min="9" max="9" width="1.140625" customWidth="1"/>
    <col min="10" max="11" width="17.7109375" customWidth="1"/>
    <col min="12" max="12" width="3" customWidth="1"/>
    <col min="13" max="13" width="26.140625" style="21" customWidth="1"/>
    <col min="14" max="14" width="15.85546875" style="21" customWidth="1"/>
    <col min="15" max="15" width="12" style="21" customWidth="1"/>
    <col min="16" max="16" width="13.7109375" customWidth="1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515116</v>
      </c>
      <c r="K4" s="9">
        <f>SUM(K5:K9)</f>
        <v>530757.19999999995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31371*10+26145*2</f>
        <v>366000</v>
      </c>
      <c r="K5" s="11">
        <f>88804.41+107555.69+82739.28+76681.88</f>
        <v>355781.26</v>
      </c>
      <c r="M5" s="6"/>
      <c r="N5" s="6"/>
      <c r="O5" s="6"/>
    </row>
    <row r="6" spans="1:15" s="4" customFormat="1" ht="15" x14ac:dyDescent="0.2">
      <c r="B6" s="4" t="s">
        <v>8</v>
      </c>
      <c r="C6" s="10" t="s">
        <v>9</v>
      </c>
      <c r="D6" s="10"/>
      <c r="E6" s="10"/>
      <c r="F6" s="10"/>
      <c r="J6" s="12">
        <f>ROUND(J5*0.202,2)</f>
        <v>73932</v>
      </c>
      <c r="K6" s="12">
        <f>ROUND(K5*0.202,2)</f>
        <v>71867.81</v>
      </c>
      <c r="M6" s="6"/>
      <c r="N6" s="6"/>
      <c r="O6" s="6"/>
    </row>
    <row r="7" spans="1:15" s="4" customFormat="1" ht="15" x14ac:dyDescent="0.2">
      <c r="B7" s="4" t="s">
        <v>10</v>
      </c>
      <c r="C7" s="10" t="s">
        <v>11</v>
      </c>
      <c r="D7" s="10"/>
      <c r="E7" s="10"/>
      <c r="J7" s="11">
        <f>1069*12</f>
        <v>12828</v>
      </c>
      <c r="K7" s="11">
        <f>5156.16+10487.84+7187.46+1205.48</f>
        <v>24036.94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4234*10+4038*2</f>
        <v>50416</v>
      </c>
      <c r="K8" s="11">
        <f>12902.87+13192.3+15486.06+14838.21</f>
        <v>56419.439999999995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995*12</f>
        <v>11940</v>
      </c>
      <c r="K9" s="11">
        <f>4655.22+2183.29+6875.76+8937.48</f>
        <v>22651.75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SUM(J12:J18)</f>
        <v>428876</v>
      </c>
      <c r="K11" s="9">
        <f>SUM(K12:K18)</f>
        <v>480550.39</v>
      </c>
      <c r="M11" s="6"/>
      <c r="N11" s="6"/>
      <c r="O11" s="6"/>
    </row>
    <row r="12" spans="1:15" s="4" customFormat="1" ht="15" x14ac:dyDescent="0.2">
      <c r="B12" s="13" t="s">
        <v>18</v>
      </c>
      <c r="C12" s="10" t="s">
        <v>19</v>
      </c>
      <c r="D12" s="10"/>
      <c r="E12" s="13"/>
      <c r="F12" s="13"/>
      <c r="J12" s="11">
        <f>11851*10+11303*2</f>
        <v>141116</v>
      </c>
      <c r="K12" s="11">
        <f>40930.34+39977.62+41022.93+41022.93</f>
        <v>162953.81999999998</v>
      </c>
      <c r="M12" s="6"/>
      <c r="N12" s="6"/>
      <c r="O12" s="6"/>
    </row>
    <row r="13" spans="1:15" s="4" customFormat="1" ht="15" x14ac:dyDescent="0.2">
      <c r="B13" s="4" t="s">
        <v>20</v>
      </c>
      <c r="C13" s="10" t="s">
        <v>21</v>
      </c>
      <c r="D13" s="10"/>
      <c r="E13" s="10"/>
      <c r="J13" s="11">
        <f>11937*10+11880*2</f>
        <v>143130</v>
      </c>
      <c r="K13" s="11">
        <f>42821.12+44937.67+46459.8+44587.31</f>
        <v>178805.90000000002</v>
      </c>
      <c r="M13" s="6"/>
      <c r="N13" s="6"/>
      <c r="O13" s="6"/>
    </row>
    <row r="14" spans="1:15" s="4" customFormat="1" ht="15" x14ac:dyDescent="0.2">
      <c r="B14" s="4" t="s">
        <v>22</v>
      </c>
      <c r="C14" s="10" t="s">
        <v>23</v>
      </c>
      <c r="D14" s="10"/>
      <c r="E14" s="10"/>
      <c r="F14" s="10"/>
      <c r="J14" s="11">
        <f>496*12</f>
        <v>5952</v>
      </c>
      <c r="K14" s="11">
        <f>1488.96+1488.96+1488.96+1488.96</f>
        <v>5955.84</v>
      </c>
      <c r="M14" s="6"/>
      <c r="N14" s="6"/>
      <c r="O14" s="6"/>
    </row>
    <row r="15" spans="1:15" s="4" customFormat="1" ht="15" x14ac:dyDescent="0.2">
      <c r="B15" s="4" t="s">
        <v>24</v>
      </c>
      <c r="C15" s="10" t="s">
        <v>25</v>
      </c>
      <c r="D15" s="10"/>
      <c r="E15" s="10"/>
      <c r="F15" s="10"/>
      <c r="G15" s="10"/>
      <c r="H15" s="10"/>
      <c r="J15" s="11">
        <f>5190*10+5852*2</f>
        <v>63604</v>
      </c>
      <c r="K15" s="11">
        <f>19550.67+18902.38+21632.57+17345.21</f>
        <v>77430.83</v>
      </c>
      <c r="M15" s="6"/>
      <c r="N15" s="6"/>
      <c r="O15" s="6"/>
    </row>
    <row r="16" spans="1:15" s="4" customFormat="1" ht="15" x14ac:dyDescent="0.2">
      <c r="B16" s="4" t="s">
        <v>26</v>
      </c>
      <c r="C16" s="10" t="s">
        <v>27</v>
      </c>
      <c r="D16" s="10"/>
      <c r="E16" s="10"/>
      <c r="F16" s="10"/>
      <c r="J16" s="11">
        <f>6183*12</f>
        <v>74196</v>
      </c>
      <c r="K16" s="11">
        <f>55404+0+0+0</f>
        <v>55404</v>
      </c>
      <c r="M16" s="6"/>
      <c r="N16" s="6"/>
      <c r="O16" s="6"/>
    </row>
    <row r="17" spans="1:15" s="4" customFormat="1" ht="15" x14ac:dyDescent="0.2">
      <c r="B17" s="4" t="s">
        <v>28</v>
      </c>
      <c r="C17" s="13" t="s">
        <v>29</v>
      </c>
      <c r="D17" s="13"/>
      <c r="E17" s="13"/>
      <c r="F17" s="13"/>
      <c r="J17" s="11">
        <f>439*2</f>
        <v>878</v>
      </c>
      <c r="K17" s="11">
        <v>0</v>
      </c>
    </row>
    <row r="18" spans="1:15" s="4" customFormat="1" ht="15" x14ac:dyDescent="0.2">
      <c r="B18" s="4" t="s">
        <v>30</v>
      </c>
      <c r="C18" s="13"/>
      <c r="D18" s="13"/>
      <c r="E18" s="13"/>
      <c r="F18" s="13"/>
      <c r="J18" s="11"/>
      <c r="K18" s="11"/>
      <c r="M18" s="6"/>
      <c r="N18" s="6"/>
      <c r="O18" s="6"/>
    </row>
    <row r="19" spans="1:15" s="4" customFormat="1" ht="15.75" x14ac:dyDescent="0.25">
      <c r="A19" s="7" t="s">
        <v>31</v>
      </c>
      <c r="B19" s="8" t="s">
        <v>32</v>
      </c>
      <c r="C19" s="8"/>
      <c r="D19" s="8"/>
      <c r="E19" s="8"/>
      <c r="F19" s="8"/>
      <c r="G19" s="8"/>
      <c r="H19" s="8"/>
      <c r="J19" s="9">
        <f>SUM(J20:J23)</f>
        <v>526912</v>
      </c>
      <c r="K19" s="9">
        <f>SUM(K20:K23)</f>
        <v>590574.6</v>
      </c>
      <c r="M19" s="6"/>
      <c r="N19" s="6"/>
      <c r="O19" s="6"/>
    </row>
    <row r="20" spans="1:15" s="4" customFormat="1" ht="15" x14ac:dyDescent="0.2">
      <c r="B20" s="13" t="s">
        <v>33</v>
      </c>
      <c r="C20" s="10" t="s">
        <v>34</v>
      </c>
      <c r="D20" s="10"/>
      <c r="E20" s="10"/>
      <c r="F20" s="10"/>
      <c r="G20" s="10"/>
      <c r="J20" s="11">
        <f>41748*10+35063*2</f>
        <v>487606</v>
      </c>
      <c r="K20" s="11">
        <f>125235.6+125235.6+118553.4+105189</f>
        <v>474213.6</v>
      </c>
      <c r="M20" s="6"/>
      <c r="N20" s="6"/>
      <c r="O20" s="6"/>
    </row>
    <row r="21" spans="1:15" s="4" customFormat="1" ht="15" x14ac:dyDescent="0.2">
      <c r="B21" s="13" t="s">
        <v>35</v>
      </c>
      <c r="C21" s="10" t="s">
        <v>36</v>
      </c>
      <c r="D21" s="10"/>
      <c r="E21" s="10"/>
      <c r="F21" s="10"/>
      <c r="G21" s="10"/>
      <c r="H21" s="10"/>
      <c r="J21" s="11">
        <f>2588*12</f>
        <v>31056</v>
      </c>
      <c r="K21" s="11">
        <f>0+0+0+31059</f>
        <v>31059</v>
      </c>
      <c r="M21" s="6"/>
      <c r="N21" s="6"/>
      <c r="O21" s="6"/>
    </row>
    <row r="22" spans="1:15" s="4" customFormat="1" ht="15" x14ac:dyDescent="0.2">
      <c r="B22" s="4" t="s">
        <v>37</v>
      </c>
      <c r="C22" s="4" t="s">
        <v>38</v>
      </c>
      <c r="J22" s="11">
        <f>750*10+375*2</f>
        <v>8250</v>
      </c>
      <c r="K22" s="11">
        <f>171.5*7*4</f>
        <v>4802</v>
      </c>
      <c r="M22" s="6"/>
      <c r="N22" s="6"/>
      <c r="O22" s="6"/>
    </row>
    <row r="23" spans="1:15" s="4" customFormat="1" ht="15" x14ac:dyDescent="0.2">
      <c r="B23" s="4" t="s">
        <v>39</v>
      </c>
      <c r="C23" s="4" t="s">
        <v>40</v>
      </c>
      <c r="J23" s="11"/>
      <c r="K23" s="11">
        <v>80500</v>
      </c>
      <c r="M23" s="6"/>
      <c r="N23" s="6"/>
      <c r="O23" s="6"/>
    </row>
    <row r="24" spans="1:15" s="4" customFormat="1" ht="15.75" x14ac:dyDescent="0.25">
      <c r="A24" s="7" t="s">
        <v>41</v>
      </c>
      <c r="B24" s="14" t="s">
        <v>42</v>
      </c>
      <c r="C24" s="14"/>
      <c r="D24" s="14"/>
      <c r="J24" s="9">
        <f>40550*10+40540*2</f>
        <v>486580</v>
      </c>
      <c r="K24" s="9">
        <f>SUM(K25:K29)</f>
        <v>811305.09</v>
      </c>
      <c r="M24" s="6"/>
      <c r="N24" s="6"/>
      <c r="O24" s="6"/>
    </row>
    <row r="25" spans="1:15" s="4" customFormat="1" ht="15" x14ac:dyDescent="0.2">
      <c r="B25" s="4" t="s">
        <v>43</v>
      </c>
      <c r="C25" s="10" t="s">
        <v>44</v>
      </c>
      <c r="D25" s="10"/>
      <c r="J25" s="11"/>
      <c r="K25" s="11">
        <f>21107.72+63892.71+476556.69+52429.36</f>
        <v>613986.48</v>
      </c>
      <c r="M25" s="6"/>
      <c r="N25" s="6"/>
      <c r="O25" s="6"/>
    </row>
    <row r="26" spans="1:15" s="4" customFormat="1" ht="15" x14ac:dyDescent="0.2">
      <c r="B26" s="4" t="s">
        <v>45</v>
      </c>
      <c r="C26" s="10" t="s">
        <v>46</v>
      </c>
      <c r="D26" s="10"/>
      <c r="E26" s="10"/>
      <c r="F26" s="10"/>
      <c r="G26" s="10"/>
      <c r="J26" s="11"/>
      <c r="K26" s="11">
        <f>38295.42+40085.02+26533.97+34764.07</f>
        <v>139678.48000000001</v>
      </c>
      <c r="M26" s="6"/>
      <c r="N26" s="6"/>
      <c r="O26" s="6"/>
    </row>
    <row r="27" spans="1:15" s="4" customFormat="1" ht="15" x14ac:dyDescent="0.2">
      <c r="B27" s="4" t="s">
        <v>47</v>
      </c>
      <c r="C27" s="10" t="s">
        <v>48</v>
      </c>
      <c r="D27" s="10"/>
      <c r="E27" s="10"/>
      <c r="F27" s="10"/>
      <c r="G27" s="10"/>
      <c r="H27" s="10"/>
      <c r="J27" s="11"/>
      <c r="K27" s="11">
        <f>15830.49+12010.44+15281.26+11957.94</f>
        <v>55080.130000000005</v>
      </c>
      <c r="M27" s="6"/>
      <c r="N27" s="6"/>
      <c r="O27" s="6"/>
    </row>
    <row r="28" spans="1:15" s="4" customFormat="1" ht="15" x14ac:dyDescent="0.2">
      <c r="B28" s="4" t="s">
        <v>49</v>
      </c>
      <c r="C28" s="13" t="s">
        <v>50</v>
      </c>
      <c r="D28" s="15"/>
      <c r="E28" s="15"/>
      <c r="F28" s="13"/>
      <c r="G28" s="13"/>
      <c r="H28" s="13"/>
      <c r="J28" s="11"/>
      <c r="K28" s="11">
        <f>200*12.8</f>
        <v>2560</v>
      </c>
      <c r="M28" s="6"/>
      <c r="N28" s="6"/>
      <c r="O28" s="6"/>
    </row>
    <row r="29" spans="1:15" s="4" customFormat="1" ht="15" x14ac:dyDescent="0.2">
      <c r="B29" s="4" t="s">
        <v>51</v>
      </c>
      <c r="C29" s="13"/>
      <c r="D29" s="13"/>
      <c r="E29" s="13"/>
      <c r="F29" s="13"/>
      <c r="G29" s="15"/>
      <c r="H29" s="15"/>
      <c r="J29" s="11"/>
      <c r="K29" s="11"/>
    </row>
    <row r="30" spans="1:15" s="4" customFormat="1" ht="15" x14ac:dyDescent="0.2">
      <c r="B30" s="4" t="s">
        <v>52</v>
      </c>
      <c r="C30" s="13"/>
      <c r="D30" s="13"/>
      <c r="E30" s="13"/>
      <c r="F30" s="13"/>
      <c r="G30" s="15"/>
      <c r="H30" s="15"/>
      <c r="J30" s="11"/>
      <c r="K30" s="11"/>
    </row>
    <row r="31" spans="1:15" s="4" customFormat="1" ht="15" x14ac:dyDescent="0.2">
      <c r="C31" s="13"/>
      <c r="D31" s="13"/>
      <c r="E31" s="13"/>
      <c r="F31" s="13"/>
      <c r="G31" s="15"/>
      <c r="H31" s="15"/>
      <c r="J31" s="11"/>
      <c r="K31" s="11"/>
    </row>
    <row r="32" spans="1:15" s="4" customFormat="1" ht="15" x14ac:dyDescent="0.2">
      <c r="C32" s="13"/>
      <c r="D32" s="13"/>
      <c r="E32" s="13"/>
      <c r="F32" s="13"/>
      <c r="G32" s="15"/>
      <c r="H32" s="15"/>
      <c r="J32" s="11"/>
      <c r="K32" s="11"/>
    </row>
    <row r="33" spans="1:15" s="4" customFormat="1" ht="15" x14ac:dyDescent="0.2">
      <c r="C33" s="13"/>
      <c r="D33" s="13"/>
      <c r="E33" s="13"/>
      <c r="F33" s="13"/>
      <c r="G33" s="15"/>
      <c r="H33" s="15"/>
      <c r="J33" s="11"/>
      <c r="K33" s="11"/>
    </row>
    <row r="34" spans="1:15" s="4" customFormat="1" ht="15" x14ac:dyDescent="0.2">
      <c r="C34" s="13"/>
      <c r="D34" s="13"/>
      <c r="E34" s="13"/>
      <c r="F34" s="13"/>
      <c r="G34" s="15"/>
      <c r="H34" s="15"/>
      <c r="J34" s="11"/>
      <c r="K34" s="11"/>
    </row>
    <row r="35" spans="1:15" s="4" customFormat="1" ht="15.75" x14ac:dyDescent="0.25">
      <c r="A35" s="7" t="s">
        <v>53</v>
      </c>
      <c r="B35" s="8" t="s">
        <v>54</v>
      </c>
      <c r="C35" s="8"/>
      <c r="D35" s="8"/>
      <c r="E35" s="8"/>
      <c r="J35" s="9">
        <f>39430*10+42840*2</f>
        <v>479980</v>
      </c>
      <c r="K35" s="9">
        <f>39666+81496.69+79649.11+39666+39666+77375.79+39666+29087.05+66987.11+K36</f>
        <v>523259.74999999994</v>
      </c>
      <c r="M35" s="6"/>
      <c r="N35" s="6"/>
      <c r="O35" s="6"/>
    </row>
    <row r="36" spans="1:15" s="4" customFormat="1" ht="15" x14ac:dyDescent="0.2">
      <c r="B36" s="4" t="s">
        <v>55</v>
      </c>
      <c r="J36" s="11"/>
      <c r="K36" s="11">
        <f>30000</f>
        <v>30000</v>
      </c>
      <c r="M36" s="6"/>
      <c r="N36" s="6"/>
      <c r="O36" s="6"/>
    </row>
    <row r="37" spans="1:15" s="4" customFormat="1" ht="15.75" x14ac:dyDescent="0.25">
      <c r="A37" s="7" t="s">
        <v>56</v>
      </c>
      <c r="B37" s="14" t="s">
        <v>57</v>
      </c>
      <c r="C37" s="14"/>
      <c r="D37" s="14"/>
      <c r="E37" s="14"/>
      <c r="F37" s="14"/>
      <c r="J37" s="9">
        <f>49500*10+66830*2</f>
        <v>628660</v>
      </c>
      <c r="K37" s="9">
        <f>151882.49+149205.5+172394.49+60699.09+131832.39</f>
        <v>666013.96</v>
      </c>
      <c r="M37" s="6"/>
      <c r="N37" s="6"/>
      <c r="O37" s="6"/>
    </row>
    <row r="38" spans="1:15" s="4" customFormat="1" ht="15" x14ac:dyDescent="0.2">
      <c r="J38" s="11"/>
      <c r="K38" s="11"/>
      <c r="M38" s="6"/>
      <c r="N38" s="6"/>
      <c r="O38" s="6"/>
    </row>
    <row r="39" spans="1:15" s="4" customFormat="1" ht="15.75" x14ac:dyDescent="0.25">
      <c r="A39" s="7" t="s">
        <v>58</v>
      </c>
      <c r="B39" s="7" t="s">
        <v>59</v>
      </c>
      <c r="J39" s="9">
        <f>4880*12</f>
        <v>58560</v>
      </c>
      <c r="K39" s="9">
        <f>52740.07+3187.02+0+0</f>
        <v>55927.09</v>
      </c>
      <c r="M39" s="6"/>
      <c r="N39" s="6"/>
      <c r="O39" s="6"/>
    </row>
    <row r="40" spans="1:15" s="4" customFormat="1" ht="15.75" x14ac:dyDescent="0.25">
      <c r="A40" s="7"/>
      <c r="B40" s="7"/>
      <c r="J40" s="9"/>
      <c r="K40" s="9"/>
      <c r="M40" s="6"/>
      <c r="N40" s="6"/>
      <c r="O40" s="6"/>
    </row>
    <row r="41" spans="1:15" s="7" customFormat="1" ht="15.75" x14ac:dyDescent="0.25">
      <c r="A41" s="7" t="s">
        <v>60</v>
      </c>
      <c r="B41" s="7" t="s">
        <v>61</v>
      </c>
      <c r="J41" s="9">
        <f>37220*10+39420*2</f>
        <v>451040</v>
      </c>
      <c r="K41" s="9">
        <f>111592.29+111592.41+112172.41+116247.51</f>
        <v>451604.62</v>
      </c>
      <c r="M41" s="16"/>
      <c r="N41" s="16"/>
      <c r="O41" s="16"/>
    </row>
    <row r="42" spans="1:15" s="4" customFormat="1" ht="15.75" x14ac:dyDescent="0.25">
      <c r="B42" s="7" t="s">
        <v>62</v>
      </c>
      <c r="J42" s="9">
        <f>J4+J11+J19+J24+J35+J37+J39+J41</f>
        <v>3575724</v>
      </c>
      <c r="K42" s="9">
        <f>K4+K11+K19+K24+K35+K37+K39+K41</f>
        <v>4109992.6999999997</v>
      </c>
      <c r="M42" s="6"/>
      <c r="N42" s="6"/>
      <c r="O42" s="6"/>
    </row>
    <row r="43" spans="1:15" s="4" customFormat="1" ht="15.75" x14ac:dyDescent="0.25">
      <c r="B43" s="7" t="s">
        <v>63</v>
      </c>
      <c r="J43" s="11">
        <f>ROUND(J42*7/100,2)</f>
        <v>250300.68</v>
      </c>
      <c r="K43" s="11">
        <f>ROUND(K42*7/100,2)</f>
        <v>287699.49</v>
      </c>
      <c r="M43" s="6"/>
      <c r="N43" s="6"/>
      <c r="O43" s="6"/>
    </row>
    <row r="44" spans="1:15" s="4" customFormat="1" ht="15.75" x14ac:dyDescent="0.25">
      <c r="B44" s="8" t="s">
        <v>64</v>
      </c>
      <c r="C44" s="8"/>
      <c r="D44" s="8"/>
      <c r="J44" s="9">
        <f>SUM(J42:J43)</f>
        <v>3826024.68</v>
      </c>
      <c r="K44" s="9">
        <f>SUM(K42:K43)</f>
        <v>4397692.1899999995</v>
      </c>
      <c r="M44" s="6"/>
      <c r="N44" s="6"/>
      <c r="O44" s="6"/>
    </row>
    <row r="45" spans="1:15" s="4" customFormat="1" ht="15.75" x14ac:dyDescent="0.25">
      <c r="B45" s="17"/>
      <c r="C45" s="17"/>
      <c r="D45" s="17"/>
      <c r="J45" s="9"/>
      <c r="K45" s="9"/>
      <c r="M45" s="6"/>
      <c r="N45" s="6"/>
      <c r="O45" s="6"/>
    </row>
    <row r="46" spans="1:15" s="7" customFormat="1" ht="15.75" x14ac:dyDescent="0.25">
      <c r="A46" s="8" t="s">
        <v>65</v>
      </c>
      <c r="B46" s="8"/>
      <c r="C46" s="8"/>
      <c r="D46" s="8"/>
      <c r="J46" s="9"/>
      <c r="K46" s="9">
        <f>951179.76+951179.76+955911.63+978312.11</f>
        <v>3836583.26</v>
      </c>
      <c r="M46" s="16"/>
      <c r="N46" s="16"/>
      <c r="O46" s="16"/>
    </row>
    <row r="47" spans="1:15" s="7" customFormat="1" ht="15.75" x14ac:dyDescent="0.25">
      <c r="A47" s="17"/>
      <c r="B47" s="17"/>
      <c r="C47" s="17"/>
      <c r="D47" s="17"/>
      <c r="J47" s="9"/>
      <c r="K47" s="9"/>
      <c r="M47" s="16"/>
      <c r="N47" s="16"/>
      <c r="O47" s="16"/>
    </row>
    <row r="48" spans="1:15" s="7" customFormat="1" ht="15.75" x14ac:dyDescent="0.25">
      <c r="A48" s="8" t="s">
        <v>66</v>
      </c>
      <c r="B48" s="8"/>
      <c r="C48" s="8"/>
      <c r="D48" s="8"/>
      <c r="E48" s="8"/>
      <c r="F48" s="8"/>
      <c r="J48" s="9"/>
      <c r="K48" s="9">
        <f>905947.44+900330.29+902125.49+977546.51</f>
        <v>3685949.7299999995</v>
      </c>
      <c r="M48" s="16"/>
      <c r="N48" s="16"/>
      <c r="O48" s="16"/>
    </row>
    <row r="49" spans="2:15" s="4" customFormat="1" ht="15" x14ac:dyDescent="0.2">
      <c r="J49" s="18"/>
      <c r="K49" s="18"/>
      <c r="M49" s="6"/>
      <c r="N49" s="6"/>
      <c r="O49" s="6"/>
    </row>
    <row r="50" spans="2:15" s="4" customFormat="1" ht="15" x14ac:dyDescent="0.2">
      <c r="B50" s="4" t="s">
        <v>67</v>
      </c>
      <c r="J50" s="18" t="s">
        <v>68</v>
      </c>
      <c r="K50" s="18"/>
      <c r="M50" s="6"/>
      <c r="N50" s="6"/>
      <c r="O50" s="6"/>
    </row>
    <row r="51" spans="2:15" s="4" customFormat="1" ht="15" x14ac:dyDescent="0.2">
      <c r="J51" s="18"/>
      <c r="K51" s="18"/>
      <c r="M51" s="6"/>
      <c r="N51" s="6"/>
      <c r="O51" s="6"/>
    </row>
    <row r="52" spans="2:15" s="4" customFormat="1" ht="15" x14ac:dyDescent="0.2">
      <c r="B52" s="4" t="s">
        <v>69</v>
      </c>
      <c r="I52" s="19"/>
      <c r="J52" s="20" t="s">
        <v>70</v>
      </c>
      <c r="K52" s="18"/>
      <c r="M52" s="6"/>
      <c r="N52" s="6"/>
      <c r="O52" s="6"/>
    </row>
    <row r="53" spans="2:15" s="4" customFormat="1" ht="15" x14ac:dyDescent="0.2">
      <c r="J53" s="18"/>
      <c r="K53" s="18"/>
      <c r="M53" s="6"/>
      <c r="N53" s="6"/>
      <c r="O53" s="6"/>
    </row>
    <row r="54" spans="2:15" s="4" customFormat="1" ht="15" x14ac:dyDescent="0.2">
      <c r="J54" s="18"/>
      <c r="K54" s="18"/>
      <c r="M54" s="6"/>
      <c r="N54" s="6"/>
      <c r="O54" s="6"/>
    </row>
    <row r="55" spans="2:15" s="4" customFormat="1" ht="15" x14ac:dyDescent="0.2">
      <c r="J55" s="18"/>
      <c r="K55" s="18"/>
      <c r="M55" s="6"/>
      <c r="N55" s="6"/>
      <c r="O55" s="6"/>
    </row>
    <row r="56" spans="2:15" s="4" customFormat="1" ht="15" x14ac:dyDescent="0.2">
      <c r="J56" s="18"/>
      <c r="K56" s="18"/>
      <c r="M56" s="6"/>
      <c r="N56" s="6"/>
      <c r="O56" s="6"/>
    </row>
    <row r="57" spans="2:15" s="4" customFormat="1" ht="15" x14ac:dyDescent="0.2">
      <c r="J57" s="18"/>
      <c r="K57" s="18"/>
      <c r="M57" s="6"/>
      <c r="N57" s="6"/>
      <c r="O57" s="6"/>
    </row>
    <row r="58" spans="2:15" s="4" customFormat="1" ht="15" x14ac:dyDescent="0.2">
      <c r="J58" s="18"/>
      <c r="K58" s="18"/>
      <c r="M58" s="6"/>
      <c r="N58" s="6"/>
      <c r="O58" s="6"/>
    </row>
    <row r="59" spans="2:15" s="4" customFormat="1" ht="15" x14ac:dyDescent="0.2">
      <c r="J59" s="18"/>
      <c r="K59" s="18"/>
      <c r="M59" s="6"/>
      <c r="N59" s="6"/>
      <c r="O59" s="6"/>
    </row>
    <row r="60" spans="2:15" s="4" customFormat="1" ht="15" x14ac:dyDescent="0.2">
      <c r="J60" s="18"/>
      <c r="K60" s="18"/>
      <c r="M60" s="6"/>
      <c r="N60" s="6"/>
      <c r="O60" s="6"/>
    </row>
    <row r="61" spans="2:15" s="4" customFormat="1" ht="15" x14ac:dyDescent="0.2">
      <c r="J61" s="18"/>
      <c r="K61" s="18"/>
      <c r="M61" s="6"/>
      <c r="N61" s="6"/>
      <c r="O61" s="6"/>
    </row>
    <row r="62" spans="2:15" s="4" customFormat="1" ht="15" x14ac:dyDescent="0.2">
      <c r="J62" s="18"/>
      <c r="K62" s="18"/>
      <c r="M62" s="6"/>
      <c r="N62" s="6"/>
      <c r="O62" s="6"/>
    </row>
    <row r="63" spans="2:15" s="4" customFormat="1" ht="15" x14ac:dyDescent="0.2">
      <c r="J63" s="18"/>
      <c r="K63" s="18"/>
      <c r="M63" s="6"/>
      <c r="N63" s="6"/>
      <c r="O63" s="6"/>
    </row>
    <row r="64" spans="2:15" s="4" customFormat="1" ht="15" x14ac:dyDescent="0.2">
      <c r="J64" s="18"/>
      <c r="K64" s="18"/>
      <c r="M64" s="6"/>
      <c r="N64" s="6"/>
      <c r="O64" s="6"/>
    </row>
    <row r="65" spans="10:15" s="4" customFormat="1" ht="15" x14ac:dyDescent="0.2">
      <c r="J65" s="18"/>
      <c r="K65" s="18"/>
      <c r="M65" s="6"/>
      <c r="N65" s="6"/>
      <c r="O65" s="6"/>
    </row>
    <row r="66" spans="10:15" s="4" customFormat="1" ht="15" x14ac:dyDescent="0.2">
      <c r="J66" s="18"/>
      <c r="K66" s="18"/>
      <c r="M66" s="6"/>
      <c r="N66" s="6"/>
      <c r="O66" s="6"/>
    </row>
    <row r="67" spans="10:15" s="4" customFormat="1" ht="15" x14ac:dyDescent="0.2">
      <c r="J67" s="18"/>
      <c r="K67" s="18"/>
      <c r="M67" s="6"/>
      <c r="N67" s="6"/>
      <c r="O67" s="6"/>
    </row>
    <row r="68" spans="10:15" s="4" customFormat="1" ht="15" x14ac:dyDescent="0.2">
      <c r="J68" s="18"/>
      <c r="K68" s="18"/>
      <c r="M68" s="6"/>
      <c r="N68" s="6"/>
      <c r="O68" s="6"/>
    </row>
    <row r="69" spans="10:15" s="4" customFormat="1" ht="15" x14ac:dyDescent="0.2">
      <c r="J69" s="18"/>
      <c r="K69" s="18"/>
      <c r="M69" s="6"/>
      <c r="N69" s="6"/>
      <c r="O69" s="6"/>
    </row>
    <row r="70" spans="10:15" s="4" customFormat="1" ht="15" x14ac:dyDescent="0.2">
      <c r="J70" s="18"/>
      <c r="K70" s="18"/>
      <c r="M70" s="6"/>
      <c r="N70" s="6"/>
      <c r="O70" s="6"/>
    </row>
    <row r="71" spans="10:15" s="4" customFormat="1" ht="15" x14ac:dyDescent="0.2">
      <c r="J71" s="18"/>
      <c r="K71" s="18"/>
      <c r="M71" s="6"/>
      <c r="N71" s="6"/>
      <c r="O71" s="6"/>
    </row>
    <row r="72" spans="10:15" s="4" customFormat="1" ht="15" x14ac:dyDescent="0.2">
      <c r="J72" s="18"/>
      <c r="K72" s="18"/>
      <c r="M72" s="6"/>
      <c r="N72" s="6"/>
      <c r="O72" s="6"/>
    </row>
    <row r="73" spans="10:15" s="4" customFormat="1" ht="15" x14ac:dyDescent="0.2">
      <c r="J73" s="18"/>
      <c r="K73" s="18"/>
      <c r="M73" s="6"/>
      <c r="N73" s="6"/>
      <c r="O73" s="6"/>
    </row>
    <row r="74" spans="10:15" s="4" customFormat="1" ht="15" x14ac:dyDescent="0.2">
      <c r="J74" s="18"/>
      <c r="K74" s="18"/>
      <c r="M74" s="6"/>
      <c r="N74" s="6"/>
      <c r="O74" s="6"/>
    </row>
    <row r="75" spans="10:15" s="4" customFormat="1" ht="15" x14ac:dyDescent="0.2">
      <c r="J75" s="18"/>
      <c r="K75" s="18"/>
      <c r="M75" s="6"/>
      <c r="N75" s="6"/>
      <c r="O75" s="6"/>
    </row>
    <row r="76" spans="10:15" s="4" customFormat="1" ht="15" x14ac:dyDescent="0.2">
      <c r="J76" s="18"/>
      <c r="K76" s="18"/>
      <c r="M76" s="6"/>
      <c r="N76" s="6"/>
      <c r="O76" s="6"/>
    </row>
    <row r="77" spans="10:15" s="4" customFormat="1" ht="15" x14ac:dyDescent="0.2">
      <c r="J77" s="18"/>
      <c r="K77" s="18"/>
      <c r="M77" s="6"/>
      <c r="N77" s="6"/>
      <c r="O77" s="6"/>
    </row>
    <row r="78" spans="10:15" s="4" customFormat="1" ht="15" x14ac:dyDescent="0.2">
      <c r="J78" s="18"/>
      <c r="K78" s="18"/>
      <c r="M78" s="6"/>
      <c r="N78" s="6"/>
      <c r="O78" s="6"/>
    </row>
    <row r="79" spans="10:15" s="4" customFormat="1" ht="15" x14ac:dyDescent="0.2">
      <c r="J79" s="18"/>
      <c r="K79" s="18"/>
      <c r="M79" s="6"/>
      <c r="N79" s="6"/>
      <c r="O79" s="6"/>
    </row>
    <row r="80" spans="10:15" s="4" customFormat="1" ht="15" x14ac:dyDescent="0.2">
      <c r="J80" s="18"/>
      <c r="K80" s="18"/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</sheetData>
  <mergeCells count="22">
    <mergeCell ref="B35:E35"/>
    <mergeCell ref="B44:D44"/>
    <mergeCell ref="A46:D46"/>
    <mergeCell ref="A48:F48"/>
    <mergeCell ref="B19:H19"/>
    <mergeCell ref="C20:G20"/>
    <mergeCell ref="C21:H21"/>
    <mergeCell ref="C25:D25"/>
    <mergeCell ref="C26:G26"/>
    <mergeCell ref="C27:H27"/>
    <mergeCell ref="B11:F11"/>
    <mergeCell ref="C12:D12"/>
    <mergeCell ref="C13:E13"/>
    <mergeCell ref="C14:F14"/>
    <mergeCell ref="C15:H15"/>
    <mergeCell ref="C16:F16"/>
    <mergeCell ref="A1:K1"/>
    <mergeCell ref="A2:K2"/>
    <mergeCell ref="B4:H4"/>
    <mergeCell ref="C5:F5"/>
    <mergeCell ref="C6:F6"/>
    <mergeCell ref="C7:E7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 "А"Аэрофлот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2019-03-26T13:22:36Z</dcterms:created>
  <dcterms:modified xsi:type="dcterms:W3CDTF">2019-03-26T13:24:46Z</dcterms:modified>
</cp:coreProperties>
</file>