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 s="1"/>
  <c r="K28" i="1"/>
  <c r="K27" i="1"/>
  <c r="K26" i="1"/>
  <c r="K25" i="1"/>
  <c r="K24" i="1"/>
  <c r="J24" i="1"/>
  <c r="K22" i="1"/>
  <c r="J22" i="1"/>
  <c r="K21" i="1"/>
  <c r="J21" i="1"/>
  <c r="K20" i="1"/>
  <c r="J20" i="1"/>
  <c r="K19" i="1"/>
  <c r="J19" i="1"/>
  <c r="J18" i="1"/>
  <c r="J11" i="1" s="1"/>
  <c r="J17" i="1"/>
  <c r="K16" i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4" i="1" l="1"/>
  <c r="J43" i="1"/>
  <c r="K44" i="1"/>
  <c r="K43" i="1"/>
  <c r="K50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<sst xmlns="http://schemas.openxmlformats.org/spreadsheetml/2006/main" count="78" uniqueCount="78">
  <si>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</si>
  <si>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д.54 корп. 2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</si>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</sst>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O177"/>
  <sheetViews>
    <sheetView tabSelected="1" topLeftCell="A16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22" customWidth="1"/>
    <col min="14" max="14" width="1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410908.87</v>
      </c>
      <c r="K4" s="9">
        <f>SUM(K5:K9)</f>
        <v>431704.58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22140*10+22817*2</f>
        <v>267034</v>
      </c>
      <c r="K5" s="11">
        <f>62385.6+66636.9+63278.07+72052</f>
        <v>264352.57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53940.87</v>
      </c>
      <c r="K6" s="13">
        <f>ROUND(K5*0.202,2)</f>
        <v>53399.22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1134*12</f>
        <v>13608</v>
      </c>
      <c r="K7" s="11">
        <f>5498.48+10006.63+1845.96+1541.85</f>
        <v>18892.919999999998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5329*10+5176*2</f>
        <v>63642</v>
      </c>
      <c r="K8" s="11">
        <f>16240.47+16604.77+19491.84+18676.41</f>
        <v>71013.490000000005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1057*12</f>
        <v>12684</v>
      </c>
      <c r="K9" s="11">
        <f>4941.84+2317.71+7299.08+9487.75</f>
        <v>24046.38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529090</v>
      </c>
      <c r="K11" s="9">
        <f>SUM(K12:K18)</f>
        <v>589494.52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14916*10+14488*2</f>
        <v>178136</v>
      </c>
      <c r="K12" s="11">
        <f>51517.81+50318.66+51634.36+51634.36</f>
        <v>205105.19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15025*10+15228*2</f>
        <v>180706</v>
      </c>
      <c r="K13" s="11">
        <f>53897.67+56561.71+58477.58+56120.74</f>
        <v>225057.7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570*12</f>
        <v>6840</v>
      </c>
      <c r="K14" s="11">
        <f>1709.37+1709.37+1709.37+1709.37</f>
        <v>6837.48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5510*10+6212*2</f>
        <v>67524</v>
      </c>
      <c r="K15" s="11">
        <f>20754.37+20066.18+22964.46+18413.14</f>
        <v>82198.149999999994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7067*12</f>
        <v>84804</v>
      </c>
      <c r="K16" s="15">
        <f>70296+0+0+0</f>
        <v>70296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502*2</f>
        <v>1004</v>
      </c>
      <c r="K17" s="11"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5038*2</f>
        <v>10076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SUM(J20:J23)</f>
        <v>601010</v>
      </c>
      <c r="K19" s="9">
        <f>SUM(K20:K23)</f>
        <v>674942.4</v>
      </c>
      <c r="M19" s="6"/>
      <c r="N19" s="6"/>
      <c r="O19" s="6"/>
    </row>
    <row r="20" spans="1:15" s="4" customFormat="1" ht="15" x14ac:dyDescent="0.2">
      <c r="B20" s="14" t="s">
        <v>34</v>
      </c>
      <c r="C20" s="12" t="s">
        <v>35</v>
      </c>
      <c r="D20" s="12"/>
      <c r="E20" s="12"/>
      <c r="F20" s="12"/>
      <c r="G20" s="12"/>
      <c r="J20" s="11">
        <f>47712*10+40072*2</f>
        <v>557264</v>
      </c>
      <c r="K20" s="11">
        <f>143126.4+143126.4+135489.6+120216</f>
        <v>541958.40000000002</v>
      </c>
      <c r="M20" s="6"/>
      <c r="N20" s="6"/>
      <c r="O20" s="6"/>
    </row>
    <row r="21" spans="1:15" s="4" customFormat="1" ht="15" x14ac:dyDescent="0.2">
      <c r="B21" s="14" t="s">
        <v>36</v>
      </c>
      <c r="C21" s="12" t="s">
        <v>37</v>
      </c>
      <c r="D21" s="12"/>
      <c r="E21" s="12"/>
      <c r="F21" s="12"/>
      <c r="G21" s="12"/>
      <c r="H21" s="10"/>
      <c r="J21" s="11">
        <f>2958*12</f>
        <v>35496</v>
      </c>
      <c r="K21" s="11">
        <f>35496+0+0+0</f>
        <v>35496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f>750*10+375*2</f>
        <v>8250</v>
      </c>
      <c r="K22" s="11">
        <f>171.5*8*4</f>
        <v>5488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92000</v>
      </c>
      <c r="M23" s="6"/>
      <c r="N23" s="6"/>
      <c r="O23" s="6"/>
    </row>
    <row r="24" spans="1:15" s="4" customFormat="1" ht="15.75" x14ac:dyDescent="0.25">
      <c r="A24" s="7" t="s">
        <v>42</v>
      </c>
      <c r="B24" s="16" t="s">
        <v>43</v>
      </c>
      <c r="C24" s="16"/>
      <c r="D24" s="16"/>
      <c r="J24" s="9">
        <f>52870*12</f>
        <v>634440</v>
      </c>
      <c r="K24" s="9">
        <f>SUM(K25:K29)</f>
        <v>751457.96</v>
      </c>
      <c r="M24" s="6"/>
      <c r="N24" s="6"/>
      <c r="O24" s="6"/>
    </row>
    <row r="25" spans="1:15" s="4" customFormat="1" ht="15" x14ac:dyDescent="0.2">
      <c r="B25" s="4" t="s">
        <v>44</v>
      </c>
      <c r="C25" s="10" t="s">
        <v>45</v>
      </c>
      <c r="D25" s="10"/>
      <c r="J25" s="11"/>
      <c r="K25" s="11">
        <f>52640.81+41278.11+344201.47+89746.18</f>
        <v>527866.56999999995</v>
      </c>
      <c r="M25" s="6"/>
      <c r="N25" s="6"/>
      <c r="O25" s="6"/>
    </row>
    <row r="26" spans="1:15" s="4" customFormat="1" ht="15" x14ac:dyDescent="0.2">
      <c r="B26" s="4" t="s">
        <v>46</v>
      </c>
      <c r="C26" s="12" t="s">
        <v>47</v>
      </c>
      <c r="D26" s="12"/>
      <c r="E26" s="12"/>
      <c r="F26" s="12"/>
      <c r="G26" s="12"/>
      <c r="J26" s="11"/>
      <c r="K26" s="11">
        <f>38920.05+32898.91+37930.32+36810.76</f>
        <v>146560.04</v>
      </c>
      <c r="M26" s="6"/>
      <c r="N26" s="6"/>
      <c r="O26" s="6"/>
    </row>
    <row r="27" spans="1:15" s="4" customFormat="1" ht="15" x14ac:dyDescent="0.2">
      <c r="B27" s="4" t="s">
        <v>48</v>
      </c>
      <c r="C27" s="12" t="s">
        <v>49</v>
      </c>
      <c r="D27" s="12"/>
      <c r="E27" s="12"/>
      <c r="F27" s="12"/>
      <c r="G27" s="10"/>
      <c r="H27" s="10"/>
      <c r="J27" s="11"/>
      <c r="K27" s="11">
        <f>16805.15+12749.91+16222.11+12694.18</f>
        <v>58471.35</v>
      </c>
      <c r="M27" s="6"/>
      <c r="N27" s="6"/>
      <c r="O27" s="6"/>
    </row>
    <row r="28" spans="1:15" s="4" customFormat="1" ht="15" x14ac:dyDescent="0.2">
      <c r="B28" s="4" t="s">
        <v>50</v>
      </c>
      <c r="C28" s="14" t="s">
        <v>51</v>
      </c>
      <c r="D28" s="14"/>
      <c r="E28" s="14"/>
      <c r="F28" s="14"/>
      <c r="G28" s="10"/>
      <c r="H28" s="10"/>
      <c r="J28" s="11"/>
      <c r="K28" s="11">
        <f>200*92.8</f>
        <v>18560</v>
      </c>
      <c r="M28" s="6"/>
      <c r="N28" s="6"/>
      <c r="O28" s="6"/>
    </row>
    <row r="29" spans="1:15" s="4" customFormat="1" ht="15" x14ac:dyDescent="0.2">
      <c r="B29" s="4" t="s">
        <v>52</v>
      </c>
      <c r="C29" s="14"/>
      <c r="D29" s="14"/>
      <c r="E29" s="14"/>
      <c r="F29" s="14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53</v>
      </c>
      <c r="C30" s="14"/>
      <c r="D30" s="14"/>
      <c r="E30" s="14"/>
      <c r="F30" s="14"/>
      <c r="G30" s="10"/>
      <c r="H30" s="10"/>
      <c r="J30" s="11"/>
      <c r="K30" s="11"/>
      <c r="M30" s="6"/>
      <c r="N30" s="6"/>
      <c r="O30" s="6"/>
    </row>
    <row r="31" spans="1:15" s="4" customFormat="1" ht="15.75" x14ac:dyDescent="0.25">
      <c r="A31" s="7" t="s">
        <v>54</v>
      </c>
      <c r="B31" s="16" t="s">
        <v>55</v>
      </c>
      <c r="C31" s="16"/>
      <c r="D31" s="16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56</v>
      </c>
      <c r="C32" s="10" t="s">
        <v>57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6"/>
      <c r="C34" s="16"/>
      <c r="D34" s="16"/>
      <c r="J34" s="9"/>
      <c r="K34" s="9"/>
      <c r="M34" s="6"/>
      <c r="N34" s="6"/>
      <c r="O34" s="6"/>
    </row>
    <row r="35" spans="1:15" s="4" customFormat="1" ht="15.75" x14ac:dyDescent="0.25">
      <c r="A35" s="7" t="s">
        <v>60</v>
      </c>
      <c r="B35" s="8" t="s">
        <v>61</v>
      </c>
      <c r="C35" s="8"/>
      <c r="D35" s="8"/>
      <c r="E35" s="8"/>
      <c r="J35" s="9">
        <f>32730*10+36350*2</f>
        <v>400000</v>
      </c>
      <c r="K35" s="9">
        <f>101186.28+99537.25+96696.3+36350+90555.14</f>
        <v>424324.97000000003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62</v>
      </c>
      <c r="B37" s="8" t="s">
        <v>63</v>
      </c>
      <c r="C37" s="8"/>
      <c r="D37" s="8"/>
      <c r="E37" s="8"/>
      <c r="F37" s="8"/>
      <c r="J37" s="9">
        <f>60400*10+66820*2</f>
        <v>737640</v>
      </c>
      <c r="K37" s="9">
        <f>185380.82+182113.41+210416.83+74086.53+131701.34</f>
        <v>783698.92999999993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64</v>
      </c>
      <c r="B39" s="7" t="s">
        <v>65</v>
      </c>
      <c r="J39" s="9">
        <f>5190*12</f>
        <v>62280</v>
      </c>
      <c r="K39" s="9">
        <f>55987.2+3383.24+0+0</f>
        <v>59370.439999999995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66</v>
      </c>
      <c r="B41" s="7" t="s">
        <v>67</v>
      </c>
      <c r="J41" s="9">
        <f>42460*10+44960*2</f>
        <v>514520</v>
      </c>
      <c r="K41" s="9">
        <f>127297.32+127297.44+127959.37+132607.72</f>
        <v>515161.85</v>
      </c>
      <c r="M41" s="17"/>
      <c r="N41" s="17"/>
      <c r="O41" s="17"/>
    </row>
    <row r="42" spans="1:15" s="4" customFormat="1" ht="15.75" x14ac:dyDescent="0.25">
      <c r="B42" s="7" t="s">
        <v>68</v>
      </c>
      <c r="J42" s="9">
        <f>J4+J11+J19+J24+J31+J35+J37+J39+J41</f>
        <v>3889888.87</v>
      </c>
      <c r="K42" s="9">
        <f>K4+K11+K19+K24+K31+K35+K37+K39+K41</f>
        <v>4230155.6500000004</v>
      </c>
      <c r="M42" s="6"/>
      <c r="N42" s="6"/>
      <c r="O42" s="6"/>
    </row>
    <row r="43" spans="1:15" s="4" customFormat="1" ht="15.75" x14ac:dyDescent="0.25">
      <c r="B43" s="7" t="s">
        <v>69</v>
      </c>
      <c r="J43" s="11">
        <f>ROUND(J42*7/100,2)</f>
        <v>272292.21999999997</v>
      </c>
      <c r="K43" s="11">
        <f>ROUND(K42*7/100,2)</f>
        <v>296110.90000000002</v>
      </c>
      <c r="M43" s="6"/>
      <c r="N43" s="6"/>
      <c r="O43" s="6"/>
    </row>
    <row r="44" spans="1:15" s="4" customFormat="1" ht="15.75" x14ac:dyDescent="0.25">
      <c r="B44" s="8" t="s">
        <v>70</v>
      </c>
      <c r="C44" s="8"/>
      <c r="D44" s="8"/>
      <c r="J44" s="9">
        <f>SUM(J42:J43)</f>
        <v>4162181.09</v>
      </c>
      <c r="K44" s="9">
        <f>SUM(K42:K43)</f>
        <v>4526266.5500000007</v>
      </c>
      <c r="M44" s="6"/>
      <c r="N44" s="6"/>
      <c r="O44" s="6"/>
    </row>
    <row r="45" spans="1:15" s="4" customFormat="1" ht="15.75" x14ac:dyDescent="0.25">
      <c r="B45" s="18"/>
      <c r="C45" s="18"/>
      <c r="D45" s="18"/>
      <c r="J45" s="9"/>
      <c r="K45" s="9"/>
      <c r="M45" s="6"/>
      <c r="N45" s="6"/>
      <c r="O45" s="6"/>
    </row>
    <row r="46" spans="1:15" s="7" customFormat="1" ht="15.75" x14ac:dyDescent="0.25">
      <c r="A46" s="8" t="s">
        <v>71</v>
      </c>
      <c r="B46" s="8"/>
      <c r="C46" s="8"/>
      <c r="D46" s="8"/>
      <c r="J46" s="9"/>
      <c r="K46" s="9">
        <f>1018648.11+1018648.11+1023669.36+1047484.2</f>
        <v>4108449.7800000003</v>
      </c>
      <c r="M46" s="17"/>
      <c r="N46" s="17"/>
      <c r="O46" s="17"/>
    </row>
    <row r="47" spans="1:15" s="7" customFormat="1" ht="15.75" x14ac:dyDescent="0.25">
      <c r="A47" s="18"/>
      <c r="B47" s="18"/>
      <c r="C47" s="18"/>
      <c r="D47" s="18"/>
      <c r="J47" s="9"/>
      <c r="K47" s="9"/>
      <c r="M47" s="17"/>
      <c r="N47" s="17"/>
      <c r="O47" s="17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961578.28+1004552.97+1055363.7+1097346.56</f>
        <v>4118841.5100000002</v>
      </c>
      <c r="M48" s="17"/>
      <c r="N48" s="17"/>
      <c r="O48" s="17"/>
    </row>
    <row r="49" spans="1:15" s="4" customFormat="1" ht="15.75" x14ac:dyDescent="0.25">
      <c r="A49" s="7" t="s">
        <v>73</v>
      </c>
      <c r="K49" s="19">
        <f>15506.27+15367.45+16161.88+16828.9</f>
        <v>63864.5</v>
      </c>
      <c r="M49" s="6"/>
      <c r="N49" s="6"/>
      <c r="O49" s="6"/>
    </row>
    <row r="50" spans="1:15" s="4" customFormat="1" ht="15.75" x14ac:dyDescent="0.25">
      <c r="A50" s="7" t="s">
        <v>74</v>
      </c>
      <c r="K50" s="20">
        <f>K48+K49-K44</f>
        <v>-343560.5400000005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1"/>
      <c r="J54" s="21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2019-03-26T13:22:38Z</dcterms:created>
  <dcterms:modified xsi:type="dcterms:W3CDTF">2019-03-26T13:23:43Z</dcterms:modified>
</cp:coreProperties>
</file>