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LAVBUH-PC\Server\Ханмагомедов\ГисЖКХ 2019\Вектор Плюс\Отчеты выполненных работ\"/>
    </mc:Choice>
  </mc:AlternateContent>
  <bookViews>
    <workbookView xWindow="0" yWindow="0" windowWidth="19200" windowHeight="11595"/>
  </bookViews>
  <sheets>
    <sheet name="2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K48" i="1"/>
  <c r="K46" i="1"/>
  <c r="K41" i="1"/>
  <c r="J41" i="1"/>
  <c r="K39" i="1"/>
  <c r="J39" i="1"/>
  <c r="K37" i="1"/>
  <c r="J37" i="1"/>
  <c r="K35" i="1"/>
  <c r="J35" i="1"/>
  <c r="K33" i="1"/>
  <c r="K31" i="1"/>
  <c r="K28" i="1"/>
  <c r="K27" i="1"/>
  <c r="K26" i="1"/>
  <c r="K25" i="1"/>
  <c r="K24" i="1" s="1"/>
  <c r="J24" i="1"/>
  <c r="K22" i="1"/>
  <c r="J22" i="1"/>
  <c r="K21" i="1"/>
  <c r="J21" i="1"/>
  <c r="K20" i="1"/>
  <c r="J20" i="1"/>
  <c r="K19" i="1"/>
  <c r="J19" i="1"/>
  <c r="J18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9" i="1"/>
  <c r="J9" i="1"/>
  <c r="K8" i="1"/>
  <c r="J8" i="1"/>
  <c r="K7" i="1"/>
  <c r="J7" i="1"/>
  <c r="K5" i="1"/>
  <c r="K6" i="1" s="1"/>
  <c r="K4" i="1" s="1"/>
  <c r="K42" i="1" s="1"/>
  <c r="J5" i="1"/>
  <c r="J6" i="1" s="1"/>
  <c r="J4" i="1" s="1"/>
  <c r="J42" i="1" s="1"/>
  <c r="J43" i="1" l="1"/>
  <c r="J44" i="1" s="1"/>
  <c r="K44" i="1"/>
  <c r="K50" i="1" s="1"/>
  <c r="K43" i="1"/>
</calcChain>
</file>

<file path=xl/sharedStrings.xml><?xml version="1.0" encoding="utf-8"?>
<sst xmlns="http://schemas.openxmlformats.org/spreadsheetml/2006/main" count="77" uniqueCount="77">
  <si>
    <t xml:space="preserve">ОТЧЁТ по расходам на обслуживание </t>
  </si>
  <si>
    <t xml:space="preserve"> д.26 по ул. Зубковой за январь-декабрь 2018 г.</t>
  </si>
  <si>
    <r>
      <t>План</t>
    </r>
    <r>
      <rPr>
        <sz val="12"/>
        <rFont val="Arial Cyr"/>
        <charset val="204"/>
      </rPr>
      <t>, руб.</t>
    </r>
  </si>
  <si>
    <r>
      <t>Факт</t>
    </r>
    <r>
      <rPr>
        <sz val="12"/>
        <rFont val="Arial Cyr"/>
        <charset val="204"/>
      </rPr>
      <t>, руб.</t>
    </r>
  </si>
  <si>
    <t>1.</t>
  </si>
  <si>
    <t>Благоустройство и сан. очистка домовладений :</t>
  </si>
  <si>
    <t>1.1.</t>
  </si>
  <si>
    <t>Зарплата дворников, уборщицы, рабочих м/пр</t>
  </si>
  <si>
    <t>1.2.</t>
  </si>
  <si>
    <t>Начисление на зарплату 20.2%</t>
  </si>
  <si>
    <t>1.3.</t>
  </si>
  <si>
    <t>С/о и инвентарь :</t>
  </si>
  <si>
    <t>1.4.</t>
  </si>
  <si>
    <t>Затраты на вывоз КГМ</t>
  </si>
  <si>
    <t>1.5.</t>
  </si>
  <si>
    <t>Прочее: (уборка снега, окос)</t>
  </si>
  <si>
    <t>2.</t>
  </si>
  <si>
    <t>Содержание домохозяйства :</t>
  </si>
  <si>
    <t>2.1.</t>
  </si>
  <si>
    <t>Вывоз ТБО</t>
  </si>
  <si>
    <t>2.2.</t>
  </si>
  <si>
    <t>Захоронение ТБО</t>
  </si>
  <si>
    <t>2.3.</t>
  </si>
  <si>
    <t>Дератизация, дезинсекция</t>
  </si>
  <si>
    <t>2.4.</t>
  </si>
  <si>
    <t>Услуга АРС (Аварийно-ремонтной службы)</t>
  </si>
  <si>
    <t>2.5.</t>
  </si>
  <si>
    <t>Рязаньгоргаз</t>
  </si>
  <si>
    <t>2.6.</t>
  </si>
  <si>
    <t>Проверка вент.каналов</t>
  </si>
  <si>
    <t>2.7.</t>
  </si>
  <si>
    <t>Тех.диагностика ВДГО</t>
  </si>
  <si>
    <t>3.</t>
  </si>
  <si>
    <t>Содержание и обслуживание лифтового хоз.</t>
  </si>
  <si>
    <t>3.1.</t>
  </si>
  <si>
    <t>Техническое обслуживание лифтов</t>
  </si>
  <si>
    <t>3.2.</t>
  </si>
  <si>
    <t>Диагностическое обследование лифтов:</t>
  </si>
  <si>
    <t>3.3.</t>
  </si>
  <si>
    <t>Страхование лифтов</t>
  </si>
  <si>
    <t>4.</t>
  </si>
  <si>
    <t>Тех. обслуж. и тек. ремонт общедом. имущества</t>
  </si>
  <si>
    <t>4.1.</t>
  </si>
  <si>
    <t>ППР (акты КС-2)</t>
  </si>
  <si>
    <t>4.2.</t>
  </si>
  <si>
    <t>Заявочный ремонт, проф. осмотр</t>
  </si>
  <si>
    <t>4.3.</t>
  </si>
  <si>
    <t>Прочее: (с/о, инвентарь)</t>
  </si>
  <si>
    <t>4.4.</t>
  </si>
  <si>
    <t>Ремонт межпаненьных швов</t>
  </si>
  <si>
    <t>4.5.</t>
  </si>
  <si>
    <t>4.6.</t>
  </si>
  <si>
    <t>5.</t>
  </si>
  <si>
    <t>Затраты на упол. представителя дома</t>
  </si>
  <si>
    <t>5.1.</t>
  </si>
  <si>
    <t>Зарплата упол. представителя дома</t>
  </si>
  <si>
    <t>5.2.</t>
  </si>
  <si>
    <t>Начисления на зарплату 20,2%</t>
  </si>
  <si>
    <t>6.</t>
  </si>
  <si>
    <t>Прочие прямые затраты:</t>
  </si>
  <si>
    <t>7.</t>
  </si>
  <si>
    <t>Общеэксплуатационные расходы:</t>
  </si>
  <si>
    <t>8.</t>
  </si>
  <si>
    <t>Внеэксплуатационные расходы:</t>
  </si>
  <si>
    <t>9.</t>
  </si>
  <si>
    <t>Расходы на ОДН (ГВС, ГВС, эл. эн.)</t>
  </si>
  <si>
    <t>Итого:</t>
  </si>
  <si>
    <t>Рентабельность</t>
  </si>
  <si>
    <t>Всего расходов:</t>
  </si>
  <si>
    <t>Сумма начисления:</t>
  </si>
  <si>
    <t>Сумма поступлений от населения:</t>
  </si>
  <si>
    <t>Поступления прочие:</t>
  </si>
  <si>
    <t>Поступления - расходы:</t>
  </si>
  <si>
    <t>Директор ООО "Вектор Плюс"</t>
  </si>
  <si>
    <t>Радин В. Е.</t>
  </si>
  <si>
    <t>Председатель совета дома</t>
  </si>
  <si>
    <t>Исаева Л.П.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</si>
</sst>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2" fillId="0" borderId="0" xfId="0" applyFont="1" applyAlignme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165" fontId="2" fillId="0" borderId="1" xfId="0" applyNumberFormat="1" applyFont="1" applyBorder="1"/>
    <xf numFmtId="165" fontId="2" fillId="0" borderId="0" xfId="0" applyNumberFormat="1" applyFont="1"/>
    <xf numFmtId="0" fontId="2" fillId="0" borderId="2" xfId="0" applyFont="1" applyBorder="1"/>
    <xf numFmtId="0" fontId="2" fillId="0" borderId="0" xfId="0" applyFont="1" applyAlignment="1">
      <alignment horizontal="left"/>
    </xf>
    <xf numFmtId="0" fontId="3" fillId="0" borderId="0" xfId="0" applyFont="1" applyAlignment="1"/>
    <xf numFmtId="43" fontId="2" fillId="0" borderId="0" xfId="0" applyNumberFormat="1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177"/>
  <sheetViews>
    <sheetView tabSelected="1" topLeftCell="A4" workbookViewId="0">
      <selection activeCell="M15" sqref="M15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42578125" customWidth="1"/>
    <col min="13" max="13" width="18.5703125" customWidth="1"/>
    <col min="14" max="14" width="17.5703125" customWidth="1"/>
    <col min="15" max="15" width="20" customWidth="1"/>
    <col min="16" max="16" width="17.140625" customWidth="1"/>
  </cols>
  <sheetData>
    <row r="1" spans="1:13" s="2" customFormat="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3" s="2" customFormat="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3" s="3" customFormat="1" ht="15.75" x14ac:dyDescent="0.25">
      <c r="J3" s="4" t="s">
        <v>2</v>
      </c>
      <c r="K3" s="4" t="s">
        <v>3</v>
      </c>
    </row>
    <row r="4" spans="1:13" s="3" customFormat="1" ht="15.75" x14ac:dyDescent="0.25">
      <c r="A4" s="5" t="s">
        <v>4</v>
      </c>
      <c r="B4" s="6" t="s">
        <v>5</v>
      </c>
      <c r="C4" s="6"/>
      <c r="D4" s="6"/>
      <c r="E4" s="6"/>
      <c r="F4" s="6"/>
      <c r="G4" s="6"/>
      <c r="H4" s="6"/>
      <c r="J4" s="7">
        <f>SUM(J5:J10)</f>
        <v>1123233.04</v>
      </c>
      <c r="K4" s="7">
        <f>SUM(K5:K10)</f>
        <v>1147458.31</v>
      </c>
    </row>
    <row r="5" spans="1:13" s="3" customFormat="1" ht="15" x14ac:dyDescent="0.2">
      <c r="B5" s="3" t="s">
        <v>6</v>
      </c>
      <c r="C5" s="8" t="s">
        <v>7</v>
      </c>
      <c r="D5" s="8"/>
      <c r="E5" s="8"/>
      <c r="F5" s="8"/>
      <c r="J5" s="9">
        <f>66168*10+65321*2</f>
        <v>792322</v>
      </c>
      <c r="K5" s="9">
        <f>185758.82+210935.88+197331.31+184526.78</f>
        <v>778552.79</v>
      </c>
    </row>
    <row r="6" spans="1:13" s="3" customFormat="1" ht="15" x14ac:dyDescent="0.2">
      <c r="B6" s="3" t="s">
        <v>8</v>
      </c>
      <c r="C6" s="10" t="s">
        <v>9</v>
      </c>
      <c r="D6" s="10"/>
      <c r="E6" s="10"/>
      <c r="F6" s="10"/>
      <c r="J6" s="11">
        <f>ROUND(J5*20.2/100,2)</f>
        <v>160049.04</v>
      </c>
      <c r="K6" s="11">
        <f>ROUND(K5*20.2/100,2)</f>
        <v>157267.66</v>
      </c>
      <c r="M6" s="12"/>
    </row>
    <row r="7" spans="1:13" s="3" customFormat="1" ht="15" x14ac:dyDescent="0.2">
      <c r="B7" s="3" t="s">
        <v>10</v>
      </c>
      <c r="C7" s="10" t="s">
        <v>11</v>
      </c>
      <c r="D7" s="10"/>
      <c r="E7" s="10"/>
      <c r="J7" s="9">
        <f>2095*12</f>
        <v>25140</v>
      </c>
      <c r="K7" s="9">
        <f>7709.19+15604.14+3584.08+3442.45</f>
        <v>30339.859999999997</v>
      </c>
    </row>
    <row r="8" spans="1:13" s="3" customFormat="1" ht="15" x14ac:dyDescent="0.2">
      <c r="B8" s="3" t="s">
        <v>12</v>
      </c>
      <c r="C8" s="13" t="s">
        <v>13</v>
      </c>
      <c r="J8" s="9">
        <f>10272*10+9795*2</f>
        <v>122310</v>
      </c>
      <c r="K8" s="9">
        <f>31306.24+32008.49+37573.83+36001.96</f>
        <v>136890.51999999999</v>
      </c>
    </row>
    <row r="9" spans="1:13" s="3" customFormat="1" ht="15" x14ac:dyDescent="0.2">
      <c r="B9" s="3" t="s">
        <v>14</v>
      </c>
      <c r="C9" s="3" t="s">
        <v>15</v>
      </c>
      <c r="J9" s="9">
        <f>1951*12</f>
        <v>23412</v>
      </c>
      <c r="K9" s="9">
        <f>9126.31+4280.22+13479.53+17521.42</f>
        <v>44407.479999999996</v>
      </c>
    </row>
    <row r="10" spans="1:13" s="3" customFormat="1" ht="15" x14ac:dyDescent="0.2">
      <c r="J10" s="9"/>
      <c r="K10" s="9"/>
    </row>
    <row r="11" spans="1:13" s="3" customFormat="1" ht="15.75" x14ac:dyDescent="0.25">
      <c r="A11" s="5" t="s">
        <v>16</v>
      </c>
      <c r="B11" s="6" t="s">
        <v>17</v>
      </c>
      <c r="C11" s="6"/>
      <c r="D11" s="6"/>
      <c r="E11" s="6"/>
      <c r="F11" s="6"/>
      <c r="J11" s="7">
        <f>SUM(J12:J18)</f>
        <v>999670</v>
      </c>
      <c r="K11" s="7">
        <f>SUM(K12:K18)</f>
        <v>1271986.1500000001</v>
      </c>
    </row>
    <row r="12" spans="1:13" s="3" customFormat="1" ht="15" x14ac:dyDescent="0.2">
      <c r="B12" s="14" t="s">
        <v>18</v>
      </c>
      <c r="C12" s="10" t="s">
        <v>19</v>
      </c>
      <c r="D12" s="10"/>
      <c r="E12" s="14"/>
      <c r="F12" s="14"/>
      <c r="J12" s="9">
        <f>28753*10+27417*2</f>
        <v>342364</v>
      </c>
      <c r="K12" s="9">
        <f>99309.3+96997.72+99533.96+99533.96</f>
        <v>395374.94000000006</v>
      </c>
    </row>
    <row r="13" spans="1:13" s="3" customFormat="1" ht="15" x14ac:dyDescent="0.2">
      <c r="B13" s="3" t="s">
        <v>20</v>
      </c>
      <c r="C13" s="10" t="s">
        <v>21</v>
      </c>
      <c r="D13" s="10"/>
      <c r="E13" s="10"/>
      <c r="J13" s="9">
        <f>28963*10+28818*2</f>
        <v>347266</v>
      </c>
      <c r="K13" s="9">
        <f>103896.9+109032.28+112725.44+108182.23</f>
        <v>433836.85</v>
      </c>
    </row>
    <row r="14" spans="1:13" s="3" customFormat="1" ht="15" x14ac:dyDescent="0.2">
      <c r="B14" s="3" t="s">
        <v>22</v>
      </c>
      <c r="C14" s="10" t="s">
        <v>23</v>
      </c>
      <c r="D14" s="10"/>
      <c r="E14" s="10"/>
      <c r="F14" s="10"/>
      <c r="J14" s="9">
        <f>1163*12</f>
        <v>13956</v>
      </c>
      <c r="K14" s="9">
        <f>3490.89+3490.89+3490.89+3490.89</f>
        <v>13963.56</v>
      </c>
    </row>
    <row r="15" spans="1:13" s="3" customFormat="1" ht="15" x14ac:dyDescent="0.2">
      <c r="B15" s="3" t="s">
        <v>24</v>
      </c>
      <c r="C15" s="10" t="s">
        <v>25</v>
      </c>
      <c r="D15" s="10"/>
      <c r="E15" s="10"/>
      <c r="F15" s="10"/>
      <c r="G15" s="10"/>
      <c r="H15" s="10"/>
      <c r="J15" s="9">
        <f>10175*10+11473*2</f>
        <v>124696</v>
      </c>
      <c r="K15" s="9">
        <f>38327.98+37057.06+42409.44+34004.32</f>
        <v>151798.80000000002</v>
      </c>
    </row>
    <row r="16" spans="1:13" s="3" customFormat="1" ht="15" x14ac:dyDescent="0.2">
      <c r="B16" s="3" t="s">
        <v>26</v>
      </c>
      <c r="C16" s="10" t="s">
        <v>27</v>
      </c>
      <c r="D16" s="10"/>
      <c r="E16" s="10"/>
      <c r="F16" s="10"/>
      <c r="J16" s="9">
        <f>12632*12</f>
        <v>151584</v>
      </c>
      <c r="K16" s="9">
        <f>0+108068+14504+0</f>
        <v>122572</v>
      </c>
    </row>
    <row r="17" spans="1:11" s="3" customFormat="1" ht="15" x14ac:dyDescent="0.2">
      <c r="B17" s="3" t="s">
        <v>28</v>
      </c>
      <c r="C17" s="14" t="s">
        <v>29</v>
      </c>
      <c r="D17" s="14"/>
      <c r="E17" s="14"/>
      <c r="F17" s="14"/>
      <c r="J17" s="9">
        <f>897*2</f>
        <v>1794</v>
      </c>
      <c r="K17" s="9">
        <v>0</v>
      </c>
    </row>
    <row r="18" spans="1:11" s="3" customFormat="1" ht="15" x14ac:dyDescent="0.2">
      <c r="B18" s="3" t="s">
        <v>30</v>
      </c>
      <c r="C18" s="14" t="s">
        <v>31</v>
      </c>
      <c r="D18" s="14"/>
      <c r="E18" s="14"/>
      <c r="F18" s="14"/>
      <c r="J18" s="9">
        <f>9005*2</f>
        <v>18010</v>
      </c>
      <c r="K18" s="9">
        <v>154440</v>
      </c>
    </row>
    <row r="19" spans="1:11" s="3" customFormat="1" ht="15.75" x14ac:dyDescent="0.25">
      <c r="A19" s="5" t="s">
        <v>32</v>
      </c>
      <c r="B19" s="6" t="s">
        <v>33</v>
      </c>
      <c r="C19" s="6"/>
      <c r="D19" s="6"/>
      <c r="E19" s="6"/>
      <c r="F19" s="6"/>
      <c r="G19" s="6"/>
      <c r="H19" s="6"/>
      <c r="J19" s="7">
        <f>SUM(J20:J22)</f>
        <v>1148090</v>
      </c>
      <c r="K19" s="7">
        <f>SUM(K20:K22)</f>
        <v>1086691.6000000001</v>
      </c>
    </row>
    <row r="20" spans="1:11" s="3" customFormat="1" ht="15" x14ac:dyDescent="0.2">
      <c r="B20" s="14" t="s">
        <v>34</v>
      </c>
      <c r="C20" s="10" t="s">
        <v>35</v>
      </c>
      <c r="D20" s="10"/>
      <c r="E20" s="10"/>
      <c r="F20" s="10"/>
      <c r="G20" s="10"/>
      <c r="J20" s="9">
        <f>91008*10+76585*2</f>
        <v>1063250</v>
      </c>
      <c r="K20" s="9">
        <f>273014.4+273014.4+258594.4+229754.4</f>
        <v>1034377.6000000001</v>
      </c>
    </row>
    <row r="21" spans="1:11" s="3" customFormat="1" ht="15" x14ac:dyDescent="0.2">
      <c r="B21" s="14" t="s">
        <v>36</v>
      </c>
      <c r="C21" s="10" t="s">
        <v>37</v>
      </c>
      <c r="D21" s="10"/>
      <c r="E21" s="10"/>
      <c r="F21" s="10"/>
      <c r="G21" s="10"/>
      <c r="H21" s="8"/>
      <c r="J21" s="9">
        <f>5695*12</f>
        <v>68340</v>
      </c>
      <c r="K21" s="9">
        <f>42710+0+0+0</f>
        <v>42710</v>
      </c>
    </row>
    <row r="22" spans="1:11" s="3" customFormat="1" ht="15" x14ac:dyDescent="0.2">
      <c r="B22" s="3" t="s">
        <v>38</v>
      </c>
      <c r="C22" s="3" t="s">
        <v>39</v>
      </c>
      <c r="J22" s="9">
        <f>1500*10+750*2</f>
        <v>16500</v>
      </c>
      <c r="K22" s="9">
        <f>171.5*14*4</f>
        <v>9604</v>
      </c>
    </row>
    <row r="23" spans="1:11" s="3" customFormat="1" ht="15" x14ac:dyDescent="0.2">
      <c r="J23" s="9"/>
      <c r="K23" s="9"/>
    </row>
    <row r="24" spans="1:11" s="3" customFormat="1" ht="15.75" x14ac:dyDescent="0.25">
      <c r="A24" s="5" t="s">
        <v>40</v>
      </c>
      <c r="B24" s="15" t="s">
        <v>41</v>
      </c>
      <c r="C24" s="15"/>
      <c r="D24" s="15"/>
      <c r="J24" s="7">
        <f>86240*12</f>
        <v>1034880</v>
      </c>
      <c r="K24" s="7">
        <f>SUM(K25:K30)</f>
        <v>1604116.32</v>
      </c>
    </row>
    <row r="25" spans="1:11" s="3" customFormat="1" ht="15" x14ac:dyDescent="0.2">
      <c r="B25" s="3" t="s">
        <v>42</v>
      </c>
      <c r="C25" s="8" t="s">
        <v>43</v>
      </c>
      <c r="D25" s="8"/>
      <c r="J25" s="9"/>
      <c r="K25" s="9">
        <f>196294.63+181981.67+694994.02+131211.08</f>
        <v>1204481.4000000001</v>
      </c>
    </row>
    <row r="26" spans="1:11" s="3" customFormat="1" ht="15" x14ac:dyDescent="0.2">
      <c r="B26" s="3" t="s">
        <v>44</v>
      </c>
      <c r="C26" s="10" t="s">
        <v>45</v>
      </c>
      <c r="D26" s="10"/>
      <c r="E26" s="10"/>
      <c r="F26" s="10"/>
      <c r="G26" s="10"/>
      <c r="J26" s="9"/>
      <c r="K26" s="9">
        <f>78798.96+80818.09+51622.58+70413.81</f>
        <v>281653.44</v>
      </c>
    </row>
    <row r="27" spans="1:11" s="3" customFormat="1" ht="15" x14ac:dyDescent="0.2">
      <c r="B27" s="3" t="s">
        <v>46</v>
      </c>
      <c r="C27" s="10" t="s">
        <v>47</v>
      </c>
      <c r="D27" s="10"/>
      <c r="E27" s="10"/>
      <c r="F27" s="10"/>
      <c r="G27" s="8"/>
      <c r="H27" s="8"/>
      <c r="J27" s="9"/>
      <c r="K27" s="9">
        <f>31034.77+23545.79+29958.05+23442.87</f>
        <v>107981.48</v>
      </c>
    </row>
    <row r="28" spans="1:11" s="3" customFormat="1" ht="15" x14ac:dyDescent="0.2">
      <c r="B28" s="3" t="s">
        <v>48</v>
      </c>
      <c r="C28" s="14" t="s">
        <v>49</v>
      </c>
      <c r="D28" s="14"/>
      <c r="E28" s="14"/>
      <c r="F28" s="14"/>
      <c r="G28" s="8"/>
      <c r="H28" s="8"/>
      <c r="J28" s="9"/>
      <c r="K28" s="9">
        <f>50*200</f>
        <v>10000</v>
      </c>
    </row>
    <row r="29" spans="1:11" s="3" customFormat="1" ht="15" x14ac:dyDescent="0.2">
      <c r="B29" s="3" t="s">
        <v>50</v>
      </c>
      <c r="C29" s="14"/>
      <c r="D29" s="14"/>
      <c r="E29" s="14"/>
      <c r="F29" s="14"/>
      <c r="G29" s="8"/>
      <c r="H29" s="8"/>
      <c r="J29" s="9"/>
      <c r="K29" s="9"/>
    </row>
    <row r="30" spans="1:11" s="3" customFormat="1" ht="15" x14ac:dyDescent="0.2">
      <c r="B30" s="3" t="s">
        <v>51</v>
      </c>
      <c r="C30" s="14"/>
      <c r="D30" s="14"/>
      <c r="E30" s="14"/>
      <c r="F30" s="14"/>
      <c r="G30" s="8"/>
      <c r="H30" s="8"/>
      <c r="J30" s="9"/>
      <c r="K30" s="9"/>
    </row>
    <row r="31" spans="1:11" s="3" customFormat="1" ht="15.75" x14ac:dyDescent="0.25">
      <c r="A31" s="5" t="s">
        <v>52</v>
      </c>
      <c r="B31" s="15" t="s">
        <v>53</v>
      </c>
      <c r="C31" s="15"/>
      <c r="D31" s="15"/>
      <c r="J31" s="7">
        <v>0</v>
      </c>
      <c r="K31" s="7">
        <f>K32+K33</f>
        <v>0</v>
      </c>
    </row>
    <row r="32" spans="1:11" s="3" customFormat="1" ht="15.75" x14ac:dyDescent="0.25">
      <c r="A32" s="5"/>
      <c r="B32" s="8" t="s">
        <v>54</v>
      </c>
      <c r="C32" s="8" t="s">
        <v>55</v>
      </c>
      <c r="D32" s="8"/>
      <c r="J32" s="7">
        <v>0</v>
      </c>
      <c r="K32" s="9"/>
    </row>
    <row r="33" spans="1:16" s="3" customFormat="1" ht="15.75" x14ac:dyDescent="0.25">
      <c r="A33" s="5"/>
      <c r="B33" s="8" t="s">
        <v>56</v>
      </c>
      <c r="C33" s="8" t="s">
        <v>57</v>
      </c>
      <c r="D33" s="8"/>
      <c r="J33" s="7">
        <v>0</v>
      </c>
      <c r="K33" s="9">
        <f>K32*0.202</f>
        <v>0</v>
      </c>
    </row>
    <row r="34" spans="1:16" s="3" customFormat="1" ht="15.75" x14ac:dyDescent="0.25">
      <c r="A34" s="5"/>
      <c r="B34" s="15"/>
      <c r="C34" s="15"/>
      <c r="D34" s="15"/>
      <c r="J34" s="7"/>
      <c r="K34" s="7"/>
    </row>
    <row r="35" spans="1:16" s="3" customFormat="1" ht="15.75" x14ac:dyDescent="0.25">
      <c r="A35" s="5" t="s">
        <v>58</v>
      </c>
      <c r="B35" s="6" t="s">
        <v>59</v>
      </c>
      <c r="C35" s="6"/>
      <c r="D35" s="6"/>
      <c r="E35" s="6"/>
      <c r="J35" s="7">
        <f>57360*10+64170*2</f>
        <v>701940</v>
      </c>
      <c r="K35" s="7">
        <f>177345.88+178676.59+169476.44+63709.45+151424.09</f>
        <v>740632.44999999984</v>
      </c>
      <c r="M35" s="16"/>
    </row>
    <row r="36" spans="1:16" s="3" customFormat="1" ht="15" x14ac:dyDescent="0.2">
      <c r="J36" s="9"/>
      <c r="K36" s="9"/>
      <c r="M36" s="16"/>
    </row>
    <row r="37" spans="1:16" s="3" customFormat="1" ht="15.75" x14ac:dyDescent="0.25">
      <c r="A37" s="5" t="s">
        <v>60</v>
      </c>
      <c r="B37" s="6" t="s">
        <v>61</v>
      </c>
      <c r="C37" s="6"/>
      <c r="D37" s="6"/>
      <c r="E37" s="6"/>
      <c r="F37" s="6"/>
      <c r="J37" s="7">
        <f>97670*10+112980*2</f>
        <v>1202660</v>
      </c>
      <c r="K37" s="7">
        <f>299731.15+294448.26+340210.37+119786.08+222778.39</f>
        <v>1276954.25</v>
      </c>
      <c r="M37" s="16"/>
    </row>
    <row r="38" spans="1:16" s="3" customFormat="1" ht="15" x14ac:dyDescent="0.2">
      <c r="J38" s="9"/>
      <c r="K38" s="9"/>
    </row>
    <row r="39" spans="1:16" s="3" customFormat="1" ht="15.75" x14ac:dyDescent="0.25">
      <c r="A39" s="5" t="s">
        <v>62</v>
      </c>
      <c r="B39" s="5" t="s">
        <v>63</v>
      </c>
      <c r="J39" s="7">
        <f>9580*12</f>
        <v>114960</v>
      </c>
      <c r="K39" s="7">
        <f>103393.93+6247.97+0+0</f>
        <v>109641.9</v>
      </c>
    </row>
    <row r="40" spans="1:16" s="3" customFormat="1" ht="15" x14ac:dyDescent="0.2">
      <c r="J40" s="9"/>
      <c r="K40" s="9"/>
    </row>
    <row r="41" spans="1:16" s="5" customFormat="1" ht="15.75" x14ac:dyDescent="0.25">
      <c r="A41" s="5" t="s">
        <v>64</v>
      </c>
      <c r="B41" s="5" t="s">
        <v>65</v>
      </c>
      <c r="J41" s="7">
        <f>77250*10+81800*2</f>
        <v>936100</v>
      </c>
      <c r="K41" s="7">
        <f>231597.89+231598.11+232801.96+241259.31</f>
        <v>937257.27</v>
      </c>
    </row>
    <row r="42" spans="1:16" s="3" customFormat="1" ht="15.75" x14ac:dyDescent="0.25">
      <c r="B42" s="5" t="s">
        <v>66</v>
      </c>
      <c r="J42" s="7">
        <f>J4+J11+J19+J24+J35+J37+J39+J41</f>
        <v>7261533.04</v>
      </c>
      <c r="K42" s="7">
        <f>K4+K11+K19+K24+K31+K35+K37+K39+K41</f>
        <v>8174738.25</v>
      </c>
      <c r="M42" s="17"/>
      <c r="N42" s="17"/>
      <c r="O42" s="17"/>
      <c r="P42" s="17"/>
    </row>
    <row r="43" spans="1:16" s="3" customFormat="1" ht="15.75" x14ac:dyDescent="0.25">
      <c r="B43" s="5" t="s">
        <v>67</v>
      </c>
      <c r="J43" s="9">
        <f>ROUND(J42*7/100,2)</f>
        <v>508307.31</v>
      </c>
      <c r="K43" s="9">
        <f>ROUND(K42*7/100,2)</f>
        <v>572231.68000000005</v>
      </c>
      <c r="M43" s="17"/>
      <c r="N43" s="17"/>
      <c r="O43" s="17"/>
      <c r="P43" s="17"/>
    </row>
    <row r="44" spans="1:16" s="3" customFormat="1" ht="15.75" x14ac:dyDescent="0.25">
      <c r="B44" s="6" t="s">
        <v>68</v>
      </c>
      <c r="C44" s="6"/>
      <c r="D44" s="6"/>
      <c r="J44" s="7">
        <f>SUM(J42:J43)</f>
        <v>7769840.3499999996</v>
      </c>
      <c r="K44" s="7">
        <f>SUM(K42:K43)</f>
        <v>8746969.9299999997</v>
      </c>
    </row>
    <row r="45" spans="1:16" s="3" customFormat="1" ht="15.75" x14ac:dyDescent="0.25">
      <c r="B45" s="18"/>
      <c r="C45" s="18"/>
      <c r="D45" s="18"/>
      <c r="J45" s="7"/>
      <c r="K45" s="7"/>
    </row>
    <row r="46" spans="1:16" s="5" customFormat="1" ht="15.75" x14ac:dyDescent="0.25">
      <c r="A46" s="6" t="s">
        <v>69</v>
      </c>
      <c r="B46" s="6"/>
      <c r="C46" s="6"/>
      <c r="D46" s="6"/>
      <c r="J46" s="7"/>
      <c r="K46" s="7">
        <f>1905670.08+1905670.08+1915978.68+1964068.68</f>
        <v>7691387.5199999996</v>
      </c>
    </row>
    <row r="47" spans="1:16" s="5" customFormat="1" ht="15.75" x14ac:dyDescent="0.25">
      <c r="A47" s="18"/>
      <c r="B47" s="18"/>
      <c r="C47" s="18"/>
      <c r="D47" s="18"/>
      <c r="J47" s="7"/>
      <c r="K47" s="7"/>
    </row>
    <row r="48" spans="1:16" s="5" customFormat="1" ht="15.75" x14ac:dyDescent="0.25">
      <c r="A48" s="6" t="s">
        <v>70</v>
      </c>
      <c r="B48" s="6"/>
      <c r="C48" s="6"/>
      <c r="D48" s="6"/>
      <c r="E48" s="6"/>
      <c r="F48" s="6"/>
      <c r="J48" s="7"/>
      <c r="K48" s="7">
        <f>1844353.66+1819686.08+1865409.14+1994112.28</f>
        <v>7523561.1600000001</v>
      </c>
    </row>
    <row r="49" spans="1:11" s="3" customFormat="1" ht="15.75" x14ac:dyDescent="0.25">
      <c r="A49" s="5" t="s">
        <v>71</v>
      </c>
      <c r="K49" s="19">
        <f>24397.3+27253.79+26174.86+29190.58</f>
        <v>107016.53</v>
      </c>
    </row>
    <row r="50" spans="1:11" s="3" customFormat="1" ht="15.75" x14ac:dyDescent="0.25">
      <c r="A50" s="5" t="s">
        <v>72</v>
      </c>
      <c r="K50" s="20">
        <f>K48+K49-K44</f>
        <v>-1116392.2399999993</v>
      </c>
    </row>
    <row r="51" spans="1:11" s="3" customFormat="1" ht="15.75" x14ac:dyDescent="0.25">
      <c r="A51" s="5"/>
    </row>
    <row r="52" spans="1:11" s="3" customFormat="1" ht="15" x14ac:dyDescent="0.2">
      <c r="B52" s="3" t="s">
        <v>73</v>
      </c>
      <c r="J52" s="3" t="s">
        <v>74</v>
      </c>
    </row>
    <row r="53" spans="1:11" s="3" customFormat="1" ht="15" x14ac:dyDescent="0.2"/>
    <row r="54" spans="1:11" s="3" customFormat="1" ht="15" x14ac:dyDescent="0.2">
      <c r="B54" s="3" t="s">
        <v>75</v>
      </c>
      <c r="I54" s="21"/>
      <c r="J54" s="3" t="s">
        <v>76</v>
      </c>
    </row>
    <row r="55" spans="1:11" s="3" customFormat="1" ht="15" x14ac:dyDescent="0.2"/>
    <row r="56" spans="1:11" s="3" customFormat="1" ht="15" x14ac:dyDescent="0.2"/>
    <row r="57" spans="1:11" s="3" customFormat="1" ht="15" x14ac:dyDescent="0.2"/>
    <row r="58" spans="1:11" s="3" customFormat="1" ht="15" x14ac:dyDescent="0.2"/>
    <row r="59" spans="1:11" s="3" customFormat="1" ht="15" x14ac:dyDescent="0.2"/>
    <row r="60" spans="1:11" s="3" customFormat="1" ht="15" x14ac:dyDescent="0.2"/>
    <row r="61" spans="1:11" s="3" customFormat="1" ht="15" x14ac:dyDescent="0.2"/>
    <row r="62" spans="1:11" s="3" customFormat="1" ht="15" x14ac:dyDescent="0.2"/>
    <row r="63" spans="1:11" s="3" customFormat="1" ht="15" x14ac:dyDescent="0.2"/>
    <row r="64" spans="1:11" s="3" customFormat="1" ht="15" x14ac:dyDescent="0.2"/>
    <row r="65" s="3" customFormat="1" ht="15" x14ac:dyDescent="0.2"/>
    <row r="66" s="3" customFormat="1" ht="15" x14ac:dyDescent="0.2"/>
    <row r="67" s="3" customFormat="1" ht="15" x14ac:dyDescent="0.2"/>
    <row r="68" s="3" customFormat="1" ht="15" x14ac:dyDescent="0.2"/>
    <row r="69" s="3" customFormat="1" ht="15" x14ac:dyDescent="0.2"/>
    <row r="70" s="3" customFormat="1" ht="15" x14ac:dyDescent="0.2"/>
    <row r="71" s="3" customFormat="1" ht="15" x14ac:dyDescent="0.2"/>
    <row r="72" s="3" customFormat="1" ht="15" x14ac:dyDescent="0.2"/>
    <row r="73" s="3" customFormat="1" ht="15" x14ac:dyDescent="0.2"/>
    <row r="74" s="3" customFormat="1" ht="15" x14ac:dyDescent="0.2"/>
    <row r="75" s="3" customFormat="1" ht="15" x14ac:dyDescent="0.2"/>
    <row r="76" s="3" customFormat="1" ht="15" x14ac:dyDescent="0.2"/>
    <row r="77" s="3" customFormat="1" ht="15" x14ac:dyDescent="0.2"/>
    <row r="78" s="3" customFormat="1" ht="15" x14ac:dyDescent="0.2"/>
    <row r="79" s="3" customFormat="1" ht="15" x14ac:dyDescent="0.2"/>
    <row r="80" s="3" customFormat="1" ht="15" x14ac:dyDescent="0.2"/>
    <row r="81" s="3" customFormat="1" ht="15" x14ac:dyDescent="0.2"/>
    <row r="82" s="3" customFormat="1" ht="15" x14ac:dyDescent="0.2"/>
    <row r="83" s="3" customFormat="1" ht="15" x14ac:dyDescent="0.2"/>
    <row r="84" s="3" customFormat="1" ht="15" x14ac:dyDescent="0.2"/>
    <row r="85" s="3" customFormat="1" ht="15" x14ac:dyDescent="0.2"/>
    <row r="86" s="3" customFormat="1" ht="15" x14ac:dyDescent="0.2"/>
    <row r="87" s="3" customFormat="1" ht="15" x14ac:dyDescent="0.2"/>
    <row r="88" s="3" customFormat="1" ht="15" x14ac:dyDescent="0.2"/>
    <row r="89" s="3" customFormat="1" ht="15" x14ac:dyDescent="0.2"/>
    <row r="90" s="3" customFormat="1" ht="15" x14ac:dyDescent="0.2"/>
    <row r="91" s="3" customFormat="1" ht="15" x14ac:dyDescent="0.2"/>
    <row r="92" s="3" customFormat="1" ht="15" x14ac:dyDescent="0.2"/>
    <row r="93" s="3" customFormat="1" ht="15" x14ac:dyDescent="0.2"/>
    <row r="94" s="3" customFormat="1" ht="15" x14ac:dyDescent="0.2"/>
    <row r="95" s="3" customFormat="1" ht="15" x14ac:dyDescent="0.2"/>
    <row r="96" s="3" customFormat="1" ht="15" x14ac:dyDescent="0.2"/>
    <row r="97" s="3" customFormat="1" ht="15" x14ac:dyDescent="0.2"/>
    <row r="98" s="3" customFormat="1" ht="15" x14ac:dyDescent="0.2"/>
    <row r="99" s="3" customFormat="1" ht="15" x14ac:dyDescent="0.2"/>
    <row r="100" s="3" customFormat="1" ht="15" x14ac:dyDescent="0.2"/>
    <row r="101" s="3" customFormat="1" ht="15" x14ac:dyDescent="0.2"/>
    <row r="102" s="3" customFormat="1" ht="15" x14ac:dyDescent="0.2"/>
    <row r="103" s="3" customFormat="1" ht="15" x14ac:dyDescent="0.2"/>
    <row r="104" s="3" customFormat="1" ht="15" x14ac:dyDescent="0.2"/>
    <row r="105" s="3" customFormat="1" ht="15" x14ac:dyDescent="0.2"/>
    <row r="106" s="3" customFormat="1" ht="15" x14ac:dyDescent="0.2"/>
    <row r="107" s="3" customFormat="1" ht="15" x14ac:dyDescent="0.2"/>
    <row r="108" s="3" customFormat="1" ht="15" x14ac:dyDescent="0.2"/>
    <row r="109" s="3" customFormat="1" ht="15" x14ac:dyDescent="0.2"/>
    <row r="110" s="3" customFormat="1" ht="15" x14ac:dyDescent="0.2"/>
    <row r="111" s="3" customFormat="1" ht="15" x14ac:dyDescent="0.2"/>
    <row r="112" s="3" customFormat="1" ht="15" x14ac:dyDescent="0.2"/>
    <row r="113" s="3" customFormat="1" ht="15" x14ac:dyDescent="0.2"/>
    <row r="114" s="3" customFormat="1" ht="15" x14ac:dyDescent="0.2"/>
    <row r="115" s="3" customFormat="1" ht="15" x14ac:dyDescent="0.2"/>
    <row r="116" s="3" customFormat="1" ht="15" x14ac:dyDescent="0.2"/>
    <row r="117" s="3" customFormat="1" ht="15" x14ac:dyDescent="0.2"/>
    <row r="118" s="3" customFormat="1" ht="15" x14ac:dyDescent="0.2"/>
    <row r="119" s="3" customFormat="1" ht="15" x14ac:dyDescent="0.2"/>
    <row r="120" s="3" customFormat="1" ht="15" x14ac:dyDescent="0.2"/>
    <row r="121" s="3" customFormat="1" ht="15" x14ac:dyDescent="0.2"/>
    <row r="122" s="3" customFormat="1" ht="15" x14ac:dyDescent="0.2"/>
    <row r="123" s="3" customFormat="1" ht="15" x14ac:dyDescent="0.2"/>
    <row r="124" s="3" customFormat="1" ht="15" x14ac:dyDescent="0.2"/>
    <row r="125" s="3" customFormat="1" ht="15" x14ac:dyDescent="0.2"/>
    <row r="126" s="3" customFormat="1" ht="15" x14ac:dyDescent="0.2"/>
    <row r="127" s="3" customFormat="1" ht="15" x14ac:dyDescent="0.2"/>
    <row r="128" s="3" customFormat="1" ht="15" x14ac:dyDescent="0.2"/>
    <row r="129" s="3" customFormat="1" ht="15" x14ac:dyDescent="0.2"/>
    <row r="130" s="3" customFormat="1" ht="15" x14ac:dyDescent="0.2"/>
    <row r="131" s="3" customFormat="1" ht="15" x14ac:dyDescent="0.2"/>
    <row r="132" s="3" customFormat="1" ht="15" x14ac:dyDescent="0.2"/>
    <row r="133" s="3" customFormat="1" ht="15" x14ac:dyDescent="0.2"/>
    <row r="134" s="3" customFormat="1" ht="15" x14ac:dyDescent="0.2"/>
    <row r="135" s="3" customFormat="1" ht="15" x14ac:dyDescent="0.2"/>
    <row r="136" s="3" customFormat="1" ht="15" x14ac:dyDescent="0.2"/>
    <row r="137" s="3" customFormat="1" ht="15" x14ac:dyDescent="0.2"/>
    <row r="138" s="3" customFormat="1" ht="15" x14ac:dyDescent="0.2"/>
    <row r="139" s="3" customFormat="1" ht="15" x14ac:dyDescent="0.2"/>
    <row r="140" s="3" customFormat="1" ht="15" x14ac:dyDescent="0.2"/>
    <row r="141" s="3" customFormat="1" ht="15" x14ac:dyDescent="0.2"/>
    <row r="142" s="3" customFormat="1" ht="15" x14ac:dyDescent="0.2"/>
    <row r="143" s="3" customFormat="1" ht="15" x14ac:dyDescent="0.2"/>
    <row r="144" s="3" customFormat="1" ht="15" x14ac:dyDescent="0.2"/>
    <row r="145" s="3" customFormat="1" ht="15" x14ac:dyDescent="0.2"/>
    <row r="146" s="3" customFormat="1" ht="15" x14ac:dyDescent="0.2"/>
    <row r="147" s="3" customFormat="1" ht="15" x14ac:dyDescent="0.2"/>
    <row r="148" s="3" customFormat="1" ht="15" x14ac:dyDescent="0.2"/>
    <row r="149" s="3" customFormat="1" ht="15" x14ac:dyDescent="0.2"/>
    <row r="150" s="3" customFormat="1" ht="15" x14ac:dyDescent="0.2"/>
    <row r="151" s="3" customFormat="1" ht="15" x14ac:dyDescent="0.2"/>
    <row r="152" s="3" customFormat="1" ht="15" x14ac:dyDescent="0.2"/>
    <row r="153" s="3" customFormat="1" ht="15" x14ac:dyDescent="0.2"/>
    <row r="154" s="3" customFormat="1" ht="15" x14ac:dyDescent="0.2"/>
    <row r="155" s="3" customFormat="1" ht="15" x14ac:dyDescent="0.2"/>
    <row r="156" s="3" customFormat="1" ht="15" x14ac:dyDescent="0.2"/>
    <row r="157" s="3" customFormat="1" ht="15" x14ac:dyDescent="0.2"/>
    <row r="158" s="3" customFormat="1" ht="15" x14ac:dyDescent="0.2"/>
    <row r="159" s="3" customFormat="1" ht="15" x14ac:dyDescent="0.2"/>
    <row r="160" s="3" customFormat="1" ht="15" x14ac:dyDescent="0.2"/>
    <row r="161" s="3" customFormat="1" ht="15" x14ac:dyDescent="0.2"/>
    <row r="162" s="3" customFormat="1" ht="15" x14ac:dyDescent="0.2"/>
    <row r="163" s="3" customFormat="1" ht="15" x14ac:dyDescent="0.2"/>
    <row r="164" s="3" customFormat="1" ht="15" x14ac:dyDescent="0.2"/>
    <row r="165" s="3" customFormat="1" ht="15" x14ac:dyDescent="0.2"/>
    <row r="166" s="3" customFormat="1" ht="15" x14ac:dyDescent="0.2"/>
    <row r="167" s="3" customFormat="1" ht="15" x14ac:dyDescent="0.2"/>
    <row r="168" s="3" customFormat="1" ht="15" x14ac:dyDescent="0.2"/>
    <row r="169" s="3" customFormat="1" ht="15" x14ac:dyDescent="0.2"/>
    <row r="170" s="3" customFormat="1" ht="15" x14ac:dyDescent="0.2"/>
    <row r="171" s="3" customFormat="1" ht="15" x14ac:dyDescent="0.2"/>
    <row r="172" s="3" customFormat="1" ht="15" x14ac:dyDescent="0.2"/>
    <row r="173" s="3" customFormat="1" ht="15" x14ac:dyDescent="0.2"/>
    <row r="174" s="3" customFormat="1" ht="15" x14ac:dyDescent="0.2"/>
    <row r="175" s="3" customFormat="1" ht="15" x14ac:dyDescent="0.2"/>
    <row r="176" s="3" customFormat="1" ht="15" x14ac:dyDescent="0.2"/>
    <row r="177" s="3" customFormat="1" ht="15" x14ac:dyDescent="0.2"/>
  </sheetData>
  <mergeCells count="21">
    <mergeCell ref="B44:D44"/>
    <mergeCell ref="A46:D46"/>
    <mergeCell ref="A48:F48"/>
    <mergeCell ref="C20:G20"/>
    <mergeCell ref="C21:G21"/>
    <mergeCell ref="C26:G26"/>
    <mergeCell ref="C27:F27"/>
    <mergeCell ref="B35:E35"/>
    <mergeCell ref="B37:F37"/>
    <mergeCell ref="C12:D12"/>
    <mergeCell ref="C13:E13"/>
    <mergeCell ref="C14:F14"/>
    <mergeCell ref="C15:H15"/>
    <mergeCell ref="C16:F16"/>
    <mergeCell ref="B19:H19"/>
    <mergeCell ref="A1:K1"/>
    <mergeCell ref="A2:K2"/>
    <mergeCell ref="B4:H4"/>
    <mergeCell ref="C6:F6"/>
    <mergeCell ref="C7:E7"/>
    <mergeCell ref="B11:F11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economist</cp:lastModifiedBy>
  <dcterms:created xsi:type="dcterms:W3CDTF">2019-03-26T13:22:35Z</dcterms:created>
  <dcterms:modified xsi:type="dcterms:W3CDTF">2019-03-26T13:26:02Z</dcterms:modified>
</cp:coreProperties>
</file>