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Отчеты выполненных работ\"/>
    </mc:Choice>
  </mc:AlternateContent>
  <bookViews>
    <workbookView xWindow="0" yWindow="0" windowWidth="19200" windowHeight="11595"/>
  </bookViews>
  <sheets>
    <sheet name="3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6" i="1"/>
  <c r="K41" i="1"/>
  <c r="J41" i="1"/>
  <c r="K39" i="1"/>
  <c r="J39" i="1"/>
  <c r="K37" i="1"/>
  <c r="J37" i="1"/>
  <c r="K35" i="1"/>
  <c r="J35" i="1"/>
  <c r="K33" i="1"/>
  <c r="K31" i="1" s="1"/>
  <c r="K30" i="1"/>
  <c r="K29" i="1"/>
  <c r="K28" i="1"/>
  <c r="K27" i="1"/>
  <c r="K26" i="1"/>
  <c r="K25" i="1"/>
  <c r="K24" i="1"/>
  <c r="J24" i="1"/>
  <c r="K23" i="1"/>
  <c r="J23" i="1"/>
  <c r="K22" i="1"/>
  <c r="J22" i="1"/>
  <c r="K21" i="1"/>
  <c r="J21" i="1"/>
  <c r="K20" i="1"/>
  <c r="J20" i="1"/>
  <c r="K19" i="1"/>
  <c r="J19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2" i="1" s="1"/>
  <c r="J5" i="1"/>
  <c r="J6" i="1" s="1"/>
  <c r="J4" i="1" s="1"/>
  <c r="J42" i="1" s="1"/>
  <c r="J44" i="1" l="1"/>
  <c r="J43" i="1"/>
  <c r="K44" i="1"/>
  <c r="K43" i="1"/>
  <c r="K50" i="1"/>
</calcChain>
</file>

<file path=xl/sharedStrings.xml><?xml version="1.0" encoding="utf-8"?>
<sst xmlns="http://schemas.openxmlformats.org/spreadsheetml/2006/main" count="82" uniqueCount="82">
  <si>
    <t xml:space="preserve">ОТЧЁТ по расходам на обслуживание </t>
  </si>
  <si>
    <t xml:space="preserve"> д.30 по ул. Зубковой за январь-декабрь 2018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</si>
  <si>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</si>
  <si>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</si>
  <si>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</si>
  <si>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</si>
  <si>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</si>
  <si>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</si>
  <si>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</si>
  <si>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20.2%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</si>
  <si>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</si>
  <si>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</si>
  <si>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</si>
  <si>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</si>
  <si>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</si>
  <si>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</si>
  <si>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1.6.</t>
  </si>
  <si>
    <t>Уборка снега с крыши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</si>
  <si>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</si>
  <si>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</si>
  <si>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</si>
  <si>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</si>
  <si>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</si>
  <si>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</si>
  <si>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</si>
  <si>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</si>
  <si>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</si>
  <si>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</si>
  <si>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</si>
  <si>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</si>
  <si>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</si>
  <si>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</si>
  <si>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</si>
  <si>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</si>
  <si>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</si>
  <si>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</si>
  <si>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</si>
  <si>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</si>
  <si>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</si>
  <si>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</si>
  <si>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</si>
  <si>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3.4.</t>
  </si>
  <si>
    <t>Оценка соответствия лифтов, отраб. срок служ.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</si>
  <si>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</si>
  <si>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</si>
  <si>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</si>
  <si>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</si>
  <si>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</si>
  <si>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</si>
  <si>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</si>
  <si>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</si>
  <si>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</si>
  <si>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</si>
  <si>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</si>
  <si>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Монтаж отлива кв. 23,158</t>
  </si>
  <si>
    <t>4.6.</t>
  </si>
  <si>
    <t>Ремонт балк. Козырьков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</si>
  <si>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</si>
  <si>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</si>
  <si>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</si>
  <si>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</si>
  <si>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</si>
  <si>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20,2%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</si>
  <si>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</si>
  <si>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</si>
  <si>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</si>
  <si>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</si>
  <si>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</si>
  <si>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</si>
  <si>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</si>
  <si>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</si>
  <si>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</si>
  <si>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</si>
  <si>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</si>
  <si>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</si>
  <si>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</si>
  <si>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</si>
  <si>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</si>
  <si>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</si>
  <si>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</si>
  <si>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</si>
  <si>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Шумилина Н.А.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</si>
</sst>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Alignment="1"/>
    <xf numFmtId="0" fontId="2" fillId="0" borderId="0" xfId="0" quotePrefix="1" applyFo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O177"/>
  <sheetViews>
    <sheetView tabSelected="1" topLeftCell="A25" workbookViewId="0">
      <selection activeCell="L1" sqref="L1:M65536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6.42578125" style="22" customWidth="1"/>
    <col min="14" max="14" width="16.28515625" style="22" customWidth="1"/>
    <col min="15" max="15" width="9.140625" style="22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SUM(J5:J10)</f>
        <v>620008.16999999993</v>
      </c>
      <c r="K4" s="9">
        <f>SUM(K5:K10)</f>
        <v>625779.47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35337*10+36157*2</f>
        <v>425684</v>
      </c>
      <c r="K5" s="11">
        <f>99174.21+116302.41+96656.44+94322.31</f>
        <v>406455.37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ROUND(J5*0.202,2)</f>
        <v>85988.17</v>
      </c>
      <c r="K6" s="13">
        <f>ROUND(K5*0.202,2)</f>
        <v>82103.98</v>
      </c>
      <c r="M6" s="6"/>
      <c r="N6" s="6"/>
      <c r="O6" s="6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1473*10+1474*2</f>
        <v>17678</v>
      </c>
      <c r="K7" s="11">
        <f>4327.54+8487.06+3049.91+708.77</f>
        <v>16573.28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6192*10+6137*2</f>
        <v>74194</v>
      </c>
      <c r="K8" s="11">
        <f>18869.52+19292.8+22647.25+21699.8</f>
        <v>82509.37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1372*12</f>
        <v>16464</v>
      </c>
      <c r="K9" s="11">
        <f>6417.34+3009.72+9478.39+12320.52</f>
        <v>31225.969999999998</v>
      </c>
      <c r="M9" s="6"/>
      <c r="N9" s="6"/>
      <c r="O9" s="6"/>
    </row>
    <row r="10" spans="1:15" s="4" customFormat="1" ht="15" x14ac:dyDescent="0.2">
      <c r="B10" s="4" t="s">
        <v>16</v>
      </c>
      <c r="C10" s="4" t="s">
        <v>17</v>
      </c>
      <c r="J10" s="11">
        <v>0</v>
      </c>
      <c r="K10" s="11">
        <v>6911.5</v>
      </c>
    </row>
    <row r="11" spans="1:15" s="4" customFormat="1" ht="15.75" x14ac:dyDescent="0.25">
      <c r="A11" s="7" t="s">
        <v>18</v>
      </c>
      <c r="B11" s="8" t="s">
        <v>19</v>
      </c>
      <c r="C11" s="8"/>
      <c r="D11" s="8"/>
      <c r="E11" s="8"/>
      <c r="F11" s="8"/>
      <c r="J11" s="9">
        <f>SUM(J12:J18)</f>
        <v>621108</v>
      </c>
      <c r="K11" s="9">
        <f>SUM(K12:K18)</f>
        <v>693892.35</v>
      </c>
      <c r="M11" s="6"/>
      <c r="N11" s="6"/>
      <c r="O11" s="6"/>
    </row>
    <row r="12" spans="1:15" s="4" customFormat="1" ht="15" x14ac:dyDescent="0.2">
      <c r="B12" s="14" t="s">
        <v>20</v>
      </c>
      <c r="C12" s="12" t="s">
        <v>21</v>
      </c>
      <c r="D12" s="12"/>
      <c r="E12" s="14"/>
      <c r="F12" s="14"/>
      <c r="J12" s="11">
        <f>17331*10+17176*2</f>
        <v>207662</v>
      </c>
      <c r="K12" s="11">
        <f>59857.66+58464.38+59993.07+59993.07</f>
        <v>238308.18000000002</v>
      </c>
      <c r="M12" s="6"/>
      <c r="N12" s="6"/>
      <c r="O12" s="6"/>
    </row>
    <row r="13" spans="1:15" s="4" customFormat="1" ht="15" x14ac:dyDescent="0.2">
      <c r="B13" s="4" t="s">
        <v>22</v>
      </c>
      <c r="C13" s="12" t="s">
        <v>23</v>
      </c>
      <c r="D13" s="12"/>
      <c r="E13" s="12"/>
      <c r="J13" s="11">
        <f>17457*10+18054*2</f>
        <v>210678</v>
      </c>
      <c r="K13" s="11">
        <f>62622.79+65718.08+67944.1+65205.73</f>
        <v>261490.7</v>
      </c>
      <c r="M13" s="6"/>
      <c r="N13" s="6"/>
      <c r="O13" s="6"/>
    </row>
    <row r="14" spans="1:15" s="4" customFormat="1" ht="15" x14ac:dyDescent="0.2">
      <c r="B14" s="4" t="s">
        <v>24</v>
      </c>
      <c r="C14" s="12" t="s">
        <v>25</v>
      </c>
      <c r="D14" s="12"/>
      <c r="E14" s="12"/>
      <c r="F14" s="12"/>
      <c r="J14" s="11">
        <f>786*12</f>
        <v>9432</v>
      </c>
      <c r="K14" s="11">
        <f>2358.81+2358.81+2358.81+2358.81</f>
        <v>9435.24</v>
      </c>
      <c r="M14" s="6"/>
      <c r="N14" s="6"/>
      <c r="O14" s="6"/>
    </row>
    <row r="15" spans="1:15" s="4" customFormat="1" ht="15" x14ac:dyDescent="0.2">
      <c r="B15" s="4" t="s">
        <v>26</v>
      </c>
      <c r="C15" s="12" t="s">
        <v>27</v>
      </c>
      <c r="D15" s="12"/>
      <c r="E15" s="12"/>
      <c r="F15" s="12"/>
      <c r="G15" s="12"/>
      <c r="H15" s="12"/>
      <c r="J15" s="11">
        <f>7155*10+8069*2</f>
        <v>87688</v>
      </c>
      <c r="K15" s="11">
        <f>26951.06+26057.37+29821.01+23910.79</f>
        <v>106740.23000000001</v>
      </c>
      <c r="M15" s="6"/>
      <c r="N15" s="6"/>
      <c r="O15" s="6"/>
    </row>
    <row r="16" spans="1:15" s="4" customFormat="1" ht="15" x14ac:dyDescent="0.2">
      <c r="B16" s="4" t="s">
        <v>28</v>
      </c>
      <c r="C16" s="12" t="s">
        <v>29</v>
      </c>
      <c r="D16" s="12"/>
      <c r="E16" s="12"/>
      <c r="F16" s="12"/>
      <c r="J16" s="11">
        <f>8701*12</f>
        <v>104412</v>
      </c>
      <c r="K16" s="11">
        <f>77918+0+0+0</f>
        <v>77918</v>
      </c>
      <c r="M16" s="6"/>
      <c r="N16" s="6"/>
      <c r="O16" s="6"/>
    </row>
    <row r="17" spans="1:15" s="4" customFormat="1" ht="15" x14ac:dyDescent="0.2">
      <c r="B17" s="4" t="s">
        <v>30</v>
      </c>
      <c r="C17" s="14" t="s">
        <v>31</v>
      </c>
      <c r="D17" s="14"/>
      <c r="E17" s="14"/>
      <c r="F17" s="14"/>
      <c r="J17" s="11">
        <f>618*2</f>
        <v>1236</v>
      </c>
      <c r="K17" s="11">
        <v>0</v>
      </c>
    </row>
    <row r="18" spans="1:15" s="4" customFormat="1" ht="15" x14ac:dyDescent="0.2">
      <c r="B18" s="4" t="s">
        <v>32</v>
      </c>
      <c r="C18" s="14"/>
      <c r="D18" s="14"/>
      <c r="E18" s="14"/>
      <c r="F18" s="14"/>
      <c r="J18" s="11"/>
      <c r="K18" s="11"/>
      <c r="M18" s="6"/>
      <c r="N18" s="6"/>
      <c r="O18" s="6"/>
    </row>
    <row r="19" spans="1:15" s="4" customFormat="1" ht="15.75" x14ac:dyDescent="0.25">
      <c r="A19" s="7" t="s">
        <v>33</v>
      </c>
      <c r="B19" s="8" t="s">
        <v>34</v>
      </c>
      <c r="C19" s="8"/>
      <c r="D19" s="8"/>
      <c r="E19" s="8"/>
      <c r="F19" s="8"/>
      <c r="G19" s="8"/>
      <c r="H19" s="8"/>
      <c r="J19" s="9">
        <f>SUM(J20:J23)</f>
        <v>810520</v>
      </c>
      <c r="K19" s="9">
        <f>SUM(K20:K23)</f>
        <v>778710.39999999991</v>
      </c>
      <c r="M19" s="6"/>
      <c r="N19" s="6"/>
      <c r="O19" s="6"/>
    </row>
    <row r="20" spans="1:15" s="4" customFormat="1" ht="15" x14ac:dyDescent="0.2">
      <c r="B20" s="14" t="s">
        <v>35</v>
      </c>
      <c r="C20" s="12" t="s">
        <v>36</v>
      </c>
      <c r="D20" s="12"/>
      <c r="E20" s="12"/>
      <c r="F20" s="12"/>
      <c r="G20" s="12"/>
      <c r="J20" s="11">
        <f>63672*10+53542*2</f>
        <v>743804</v>
      </c>
      <c r="K20" s="11">
        <f>191007+191007+180879.85+160625.55</f>
        <v>723519.39999999991</v>
      </c>
      <c r="M20" s="6"/>
      <c r="N20" s="6"/>
      <c r="O20" s="6"/>
    </row>
    <row r="21" spans="1:15" s="4" customFormat="1" ht="15" x14ac:dyDescent="0.2">
      <c r="B21" s="14" t="s">
        <v>37</v>
      </c>
      <c r="C21" s="12" t="s">
        <v>38</v>
      </c>
      <c r="D21" s="12"/>
      <c r="E21" s="12"/>
      <c r="F21" s="12"/>
      <c r="G21" s="12"/>
      <c r="H21" s="10"/>
      <c r="J21" s="11">
        <f>3970*12</f>
        <v>47640</v>
      </c>
      <c r="K21" s="11">
        <f>17084+21687+0+8874</f>
        <v>47645</v>
      </c>
      <c r="M21" s="6"/>
      <c r="N21" s="6"/>
      <c r="O21" s="6"/>
    </row>
    <row r="22" spans="1:15" s="4" customFormat="1" ht="15" x14ac:dyDescent="0.2">
      <c r="B22" s="4" t="s">
        <v>39</v>
      </c>
      <c r="C22" s="4" t="s">
        <v>40</v>
      </c>
      <c r="J22" s="11">
        <f>1125*10+563*2</f>
        <v>12376</v>
      </c>
      <c r="K22" s="11">
        <f>171.5*11*4</f>
        <v>7546</v>
      </c>
      <c r="M22" s="6"/>
      <c r="N22" s="6"/>
      <c r="O22" s="6"/>
    </row>
    <row r="23" spans="1:15" s="4" customFormat="1" ht="15" x14ac:dyDescent="0.2">
      <c r="B23" s="4" t="s">
        <v>41</v>
      </c>
      <c r="C23" s="4" t="s">
        <v>42</v>
      </c>
      <c r="J23" s="11">
        <f>3350*2</f>
        <v>6700</v>
      </c>
      <c r="K23" s="11">
        <f>0</f>
        <v>0</v>
      </c>
      <c r="M23" s="6"/>
      <c r="N23" s="6"/>
      <c r="O23" s="6"/>
    </row>
    <row r="24" spans="1:15" s="4" customFormat="1" ht="15.75" x14ac:dyDescent="0.25">
      <c r="A24" s="7" t="s">
        <v>43</v>
      </c>
      <c r="B24" s="15" t="s">
        <v>44</v>
      </c>
      <c r="C24" s="15"/>
      <c r="D24" s="15"/>
      <c r="J24" s="9">
        <f>76870*10+76890*2</f>
        <v>922480</v>
      </c>
      <c r="K24" s="9">
        <f>SUM(K25:K30)</f>
        <v>1323038.0900000001</v>
      </c>
      <c r="M24" s="6"/>
      <c r="N24" s="6"/>
      <c r="O24" s="6"/>
    </row>
    <row r="25" spans="1:15" s="4" customFormat="1" ht="15" x14ac:dyDescent="0.2">
      <c r="B25" s="4" t="s">
        <v>45</v>
      </c>
      <c r="C25" s="10" t="s">
        <v>46</v>
      </c>
      <c r="D25" s="10"/>
      <c r="J25" s="11"/>
      <c r="K25" s="11">
        <f>126720.89+66177.25+543430.25+83507.06</f>
        <v>819835.45</v>
      </c>
      <c r="M25" s="6"/>
      <c r="N25" s="6"/>
      <c r="O25" s="6"/>
    </row>
    <row r="26" spans="1:15" s="4" customFormat="1" ht="15" x14ac:dyDescent="0.2">
      <c r="B26" s="4" t="s">
        <v>47</v>
      </c>
      <c r="C26" s="12" t="s">
        <v>48</v>
      </c>
      <c r="D26" s="12"/>
      <c r="E26" s="12"/>
      <c r="F26" s="12"/>
      <c r="G26" s="12"/>
      <c r="J26" s="11"/>
      <c r="K26" s="11">
        <f>56566.05+58117.94+39443.05+50749.37</f>
        <v>204876.41</v>
      </c>
      <c r="M26" s="6"/>
      <c r="N26" s="6"/>
      <c r="O26" s="6"/>
    </row>
    <row r="27" spans="1:15" s="4" customFormat="1" ht="15" x14ac:dyDescent="0.2">
      <c r="B27" s="4" t="s">
        <v>49</v>
      </c>
      <c r="C27" s="12" t="s">
        <v>50</v>
      </c>
      <c r="D27" s="12"/>
      <c r="E27" s="12"/>
      <c r="F27" s="12"/>
      <c r="G27" s="10"/>
      <c r="H27" s="10"/>
      <c r="J27" s="11"/>
      <c r="K27" s="11">
        <f>21822.69+16556.67+21065.57+16484.3</f>
        <v>75929.23</v>
      </c>
      <c r="M27" s="6"/>
      <c r="N27" s="6"/>
      <c r="O27" s="6"/>
    </row>
    <row r="28" spans="1:15" s="4" customFormat="1" ht="15" x14ac:dyDescent="0.2">
      <c r="B28" s="4" t="s">
        <v>51</v>
      </c>
      <c r="C28" s="14" t="s">
        <v>52</v>
      </c>
      <c r="D28" s="14"/>
      <c r="E28" s="14"/>
      <c r="F28" s="14"/>
      <c r="G28" s="10"/>
      <c r="H28" s="10"/>
      <c r="J28" s="11"/>
      <c r="K28" s="11">
        <f>52.5*200</f>
        <v>10500</v>
      </c>
      <c r="M28" s="6"/>
      <c r="N28" s="6"/>
      <c r="O28" s="6"/>
    </row>
    <row r="29" spans="1:15" s="4" customFormat="1" ht="15" x14ac:dyDescent="0.2">
      <c r="B29" s="4" t="s">
        <v>53</v>
      </c>
      <c r="C29" s="14" t="s">
        <v>54</v>
      </c>
      <c r="D29" s="14"/>
      <c r="E29" s="14"/>
      <c r="F29" s="14"/>
      <c r="G29" s="10"/>
      <c r="H29" s="10"/>
      <c r="J29" s="11"/>
      <c r="K29" s="11">
        <f>6897+5000</f>
        <v>11897</v>
      </c>
    </row>
    <row r="30" spans="1:15" s="4" customFormat="1" ht="15" x14ac:dyDescent="0.2">
      <c r="B30" s="4" t="s">
        <v>55</v>
      </c>
      <c r="C30" s="14" t="s">
        <v>56</v>
      </c>
      <c r="D30" s="14"/>
      <c r="E30" s="14"/>
      <c r="F30" s="14"/>
      <c r="G30" s="10"/>
      <c r="H30" s="10"/>
      <c r="J30" s="11"/>
      <c r="K30" s="11">
        <f>10*20000</f>
        <v>200000</v>
      </c>
    </row>
    <row r="31" spans="1:15" s="4" customFormat="1" ht="15.75" x14ac:dyDescent="0.25">
      <c r="A31" s="7" t="s">
        <v>57</v>
      </c>
      <c r="B31" s="15" t="s">
        <v>58</v>
      </c>
      <c r="C31" s="15"/>
      <c r="D31" s="15"/>
      <c r="J31" s="9">
        <v>0</v>
      </c>
      <c r="K31" s="9">
        <f>K32+K33</f>
        <v>0</v>
      </c>
      <c r="M31" s="6"/>
      <c r="N31" s="6"/>
      <c r="O31" s="6"/>
    </row>
    <row r="32" spans="1:15" s="4" customFormat="1" ht="15.75" x14ac:dyDescent="0.25">
      <c r="A32" s="7"/>
      <c r="B32" s="10" t="s">
        <v>59</v>
      </c>
      <c r="C32" s="10" t="s">
        <v>60</v>
      </c>
      <c r="D32" s="10"/>
      <c r="J32" s="9">
        <v>0</v>
      </c>
      <c r="K32" s="11">
        <v>0</v>
      </c>
      <c r="M32" s="6"/>
      <c r="N32" s="6"/>
      <c r="O32" s="6"/>
    </row>
    <row r="33" spans="1:15" s="4" customFormat="1" ht="15.75" x14ac:dyDescent="0.25">
      <c r="A33" s="7"/>
      <c r="B33" s="10" t="s">
        <v>61</v>
      </c>
      <c r="C33" s="10" t="s">
        <v>62</v>
      </c>
      <c r="D33" s="10"/>
      <c r="J33" s="9">
        <v>0</v>
      </c>
      <c r="K33" s="11">
        <f>K32*0.202</f>
        <v>0</v>
      </c>
      <c r="M33" s="6"/>
      <c r="N33" s="6"/>
      <c r="O33" s="6"/>
    </row>
    <row r="34" spans="1:15" s="4" customFormat="1" ht="15.75" x14ac:dyDescent="0.25">
      <c r="A34" s="7"/>
      <c r="B34" s="10"/>
      <c r="C34" s="10"/>
      <c r="D34" s="10"/>
      <c r="J34" s="9"/>
      <c r="K34" s="11"/>
      <c r="M34" s="6"/>
      <c r="N34" s="6"/>
      <c r="O34" s="6"/>
    </row>
    <row r="35" spans="1:15" s="4" customFormat="1" ht="15.75" x14ac:dyDescent="0.25">
      <c r="A35" s="7" t="s">
        <v>63</v>
      </c>
      <c r="B35" s="8" t="s">
        <v>64</v>
      </c>
      <c r="C35" s="8"/>
      <c r="D35" s="8"/>
      <c r="E35" s="8"/>
      <c r="J35" s="9">
        <f>39990*10+44700*2</f>
        <v>489300</v>
      </c>
      <c r="K35" s="9">
        <f>128857.65+130061.98+118173.94+44423.86+106402.14</f>
        <v>527919.56999999995</v>
      </c>
      <c r="M35" s="6"/>
      <c r="N35" s="6"/>
      <c r="O35" s="6"/>
    </row>
    <row r="36" spans="1:15" s="4" customFormat="1" ht="15" x14ac:dyDescent="0.2">
      <c r="J36" s="11"/>
      <c r="K36" s="11"/>
      <c r="M36" s="6"/>
      <c r="N36" s="6"/>
      <c r="O36" s="6"/>
    </row>
    <row r="37" spans="1:15" s="4" customFormat="1" ht="15.75" x14ac:dyDescent="0.25">
      <c r="A37" s="7" t="s">
        <v>65</v>
      </c>
      <c r="B37" s="8" t="s">
        <v>66</v>
      </c>
      <c r="C37" s="8"/>
      <c r="D37" s="8"/>
      <c r="E37" s="8"/>
      <c r="F37" s="8"/>
      <c r="J37" s="9">
        <f>67300*10+78470*2</f>
        <v>829940</v>
      </c>
      <c r="K37" s="9">
        <f>206602.28+202960.83+234504.28+82567.58+154765.46</f>
        <v>881400.42999999993</v>
      </c>
      <c r="M37" s="6"/>
      <c r="N37" s="6"/>
      <c r="O37" s="6"/>
    </row>
    <row r="38" spans="1:15" s="4" customFormat="1" ht="15" x14ac:dyDescent="0.2">
      <c r="J38" s="11"/>
      <c r="K38" s="11"/>
      <c r="M38" s="6"/>
      <c r="N38" s="6"/>
      <c r="O38" s="6"/>
    </row>
    <row r="39" spans="1:15" s="4" customFormat="1" ht="15.75" x14ac:dyDescent="0.25">
      <c r="A39" s="7" t="s">
        <v>67</v>
      </c>
      <c r="B39" s="7" t="s">
        <v>68</v>
      </c>
      <c r="J39" s="9">
        <f>6730*10+6740*2</f>
        <v>80780</v>
      </c>
      <c r="K39" s="9">
        <f>72703.41+4393.38+0+0</f>
        <v>77096.790000000008</v>
      </c>
      <c r="M39" s="6"/>
      <c r="N39" s="6"/>
      <c r="O39" s="6"/>
    </row>
    <row r="40" spans="1:15" s="4" customFormat="1" ht="15.75" x14ac:dyDescent="0.25">
      <c r="B40" s="7"/>
      <c r="J40" s="9"/>
      <c r="K40" s="9"/>
      <c r="L40" s="16"/>
      <c r="M40" s="6"/>
      <c r="N40" s="6"/>
      <c r="O40" s="6"/>
    </row>
    <row r="41" spans="1:15" s="7" customFormat="1" ht="15.75" x14ac:dyDescent="0.25">
      <c r="A41" s="7" t="s">
        <v>69</v>
      </c>
      <c r="B41" s="7" t="s">
        <v>70</v>
      </c>
      <c r="J41" s="9">
        <f>55330*10+58590*2</f>
        <v>670480</v>
      </c>
      <c r="K41" s="9">
        <f>165880.64+165880.8+166743.43+172800.62</f>
        <v>671305.49</v>
      </c>
      <c r="M41" s="17"/>
      <c r="N41" s="17"/>
      <c r="O41" s="17"/>
    </row>
    <row r="42" spans="1:15" s="4" customFormat="1" ht="15.75" x14ac:dyDescent="0.25">
      <c r="B42" s="7" t="s">
        <v>71</v>
      </c>
      <c r="J42" s="9">
        <f>J4+J11+J19+J24+J32+J35+J37+J39+J41</f>
        <v>5044616.17</v>
      </c>
      <c r="K42" s="9">
        <f>K4+K11+K19+K24+K31+K35+K37+K39+K41</f>
        <v>5579142.5899999999</v>
      </c>
      <c r="M42" s="6"/>
      <c r="N42" s="6"/>
      <c r="O42" s="6"/>
    </row>
    <row r="43" spans="1:15" s="4" customFormat="1" ht="15.75" x14ac:dyDescent="0.25">
      <c r="B43" s="7" t="s">
        <v>72</v>
      </c>
      <c r="J43" s="11">
        <f>ROUND(J42*7/100,2)</f>
        <v>353123.13</v>
      </c>
      <c r="K43" s="11">
        <f>ROUND(K42*7/100,2)</f>
        <v>390539.98</v>
      </c>
      <c r="M43" s="6"/>
      <c r="N43" s="6"/>
      <c r="O43" s="6"/>
    </row>
    <row r="44" spans="1:15" s="4" customFormat="1" ht="15.75" x14ac:dyDescent="0.25">
      <c r="B44" s="8" t="s">
        <v>73</v>
      </c>
      <c r="C44" s="8"/>
      <c r="D44" s="8"/>
      <c r="J44" s="9">
        <f>SUM(J42:J43)</f>
        <v>5397739.2999999998</v>
      </c>
      <c r="K44" s="9">
        <f>SUM(K42:K43)</f>
        <v>5969682.5700000003</v>
      </c>
      <c r="M44" s="6"/>
      <c r="N44" s="6"/>
      <c r="O44" s="6"/>
    </row>
    <row r="45" spans="1:15" s="4" customFormat="1" ht="15.75" x14ac:dyDescent="0.25">
      <c r="B45" s="18"/>
      <c r="C45" s="18"/>
      <c r="D45" s="18"/>
      <c r="J45" s="9"/>
      <c r="K45" s="9"/>
      <c r="M45" s="6"/>
      <c r="N45" s="6"/>
      <c r="O45" s="6"/>
    </row>
    <row r="46" spans="1:15" s="7" customFormat="1" ht="15.75" x14ac:dyDescent="0.25">
      <c r="A46" s="8" t="s">
        <v>74</v>
      </c>
      <c r="B46" s="8"/>
      <c r="C46" s="8"/>
      <c r="D46" s="8"/>
      <c r="J46" s="9"/>
      <c r="K46" s="9">
        <f>1322823.24+1322823.24+1330071.57+1361142.45</f>
        <v>5336860.5</v>
      </c>
      <c r="M46" s="17"/>
      <c r="N46" s="17"/>
      <c r="O46" s="17"/>
    </row>
    <row r="47" spans="1:15" s="7" customFormat="1" ht="15.75" x14ac:dyDescent="0.25">
      <c r="A47" s="18"/>
      <c r="B47" s="18"/>
      <c r="C47" s="18"/>
      <c r="D47" s="18"/>
      <c r="J47" s="9"/>
      <c r="K47" s="9"/>
      <c r="M47" s="17"/>
      <c r="N47" s="17"/>
      <c r="O47" s="17"/>
    </row>
    <row r="48" spans="1:15" s="7" customFormat="1" ht="15.75" x14ac:dyDescent="0.25">
      <c r="A48" s="8" t="s">
        <v>75</v>
      </c>
      <c r="B48" s="8"/>
      <c r="C48" s="8"/>
      <c r="D48" s="8"/>
      <c r="E48" s="8"/>
      <c r="F48" s="8"/>
      <c r="J48" s="9"/>
      <c r="K48" s="9">
        <f>1267506.04+1285661.72+1294175.9+1445017.56</f>
        <v>5292361.22</v>
      </c>
      <c r="M48" s="17"/>
      <c r="N48" s="17"/>
      <c r="O48" s="17"/>
    </row>
    <row r="49" spans="1:15" s="4" customFormat="1" ht="15.75" x14ac:dyDescent="0.25">
      <c r="A49" s="7" t="s">
        <v>76</v>
      </c>
      <c r="K49" s="19">
        <f>23908.8+18936.85+18696.17+30593.37</f>
        <v>92135.189999999988</v>
      </c>
      <c r="M49" s="6"/>
      <c r="N49" s="6"/>
      <c r="O49" s="6"/>
    </row>
    <row r="50" spans="1:15" s="4" customFormat="1" ht="15.75" x14ac:dyDescent="0.25">
      <c r="A50" s="7" t="s">
        <v>77</v>
      </c>
      <c r="K50" s="20">
        <f>K48+K49-K44</f>
        <v>-585186.16000000015</v>
      </c>
      <c r="M50" s="6"/>
      <c r="N50" s="6"/>
      <c r="O50" s="6"/>
    </row>
    <row r="51" spans="1:15" s="4" customFormat="1" ht="15.75" x14ac:dyDescent="0.25">
      <c r="A51" s="7"/>
      <c r="M51" s="6"/>
      <c r="N51" s="6"/>
      <c r="O51" s="6"/>
    </row>
    <row r="52" spans="1:15" s="4" customFormat="1" ht="15" x14ac:dyDescent="0.2">
      <c r="B52" s="4" t="s">
        <v>78</v>
      </c>
      <c r="J52" s="4" t="s">
        <v>79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80</v>
      </c>
      <c r="I54" s="21"/>
      <c r="J54" s="4" t="s">
        <v>81</v>
      </c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4:D44"/>
    <mergeCell ref="A46:D46"/>
    <mergeCell ref="A48:F48"/>
    <mergeCell ref="C20:G20"/>
    <mergeCell ref="C21:G21"/>
    <mergeCell ref="C26:G26"/>
    <mergeCell ref="C27:F27"/>
    <mergeCell ref="B35:E35"/>
    <mergeCell ref="B37:F37"/>
    <mergeCell ref="C12:D12"/>
    <mergeCell ref="C13:E13"/>
    <mergeCell ref="C14:F14"/>
    <mergeCell ref="C15:H15"/>
    <mergeCell ref="C16:F16"/>
    <mergeCell ref="B19:H19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2019-03-26T13:22:35Z</dcterms:created>
  <dcterms:modified xsi:type="dcterms:W3CDTF">2019-03-26T13:25:58Z</dcterms:modified>
</cp:coreProperties>
</file>