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1" sheetId="1" r:id="rId1"/>
    <sheet name="2012г." sheetId="2" r:id="rId2"/>
    <sheet name="Конец 2012 г." sheetId="3" r:id="rId3"/>
  </sheets>
  <definedNames/>
  <calcPr fullCalcOnLoad="1"/>
</workbook>
</file>

<file path=xl/sharedStrings.xml><?xml version="1.0" encoding="utf-8"?>
<sst xmlns="http://schemas.openxmlformats.org/spreadsheetml/2006/main" count="667" uniqueCount="54">
  <si>
    <t>Начисление</t>
  </si>
  <si>
    <t>Поступление</t>
  </si>
  <si>
    <t>Общие затраты</t>
  </si>
  <si>
    <t>Текущий ремонт</t>
  </si>
  <si>
    <t xml:space="preserve">План </t>
  </si>
  <si>
    <t>Факт</t>
  </si>
  <si>
    <t>Итого</t>
  </si>
  <si>
    <t>2009 г.</t>
  </si>
  <si>
    <t>2008 г.</t>
  </si>
  <si>
    <t xml:space="preserve">2007 г. </t>
  </si>
  <si>
    <t>Долг по поступлениям</t>
  </si>
  <si>
    <t xml:space="preserve"> Отчёт по дому 26 по ул. Зубковой</t>
  </si>
  <si>
    <t xml:space="preserve"> Отчёт по дому 30 по ул. Зубковой</t>
  </si>
  <si>
    <t xml:space="preserve"> Отчёт по дому 30 корп. 2 по ул. Зубковой</t>
  </si>
  <si>
    <t xml:space="preserve"> Отчёт по дому 30 корп. 3 по ул. Зубковой</t>
  </si>
  <si>
    <t xml:space="preserve"> Отчёт по дому 31 корп. 1 по ул. Зубковой</t>
  </si>
  <si>
    <t xml:space="preserve"> Отчёт по дому 31 корп. 2 по ул. Зубковой</t>
  </si>
  <si>
    <t xml:space="preserve"> Отчёт по дому 42 по ул. Новоселов</t>
  </si>
  <si>
    <t xml:space="preserve"> Отчёт по дому 50 корп.1 по ул. Новоселов</t>
  </si>
  <si>
    <t xml:space="preserve"> Отчёт по дому 54 по ул. Новоселов</t>
  </si>
  <si>
    <t xml:space="preserve"> Отчёт по дому 54 корп.1 по ул. Новоселов</t>
  </si>
  <si>
    <t xml:space="preserve"> Отчёт по дому 54 корп.2 по ул. Новоселов</t>
  </si>
  <si>
    <t xml:space="preserve"> Отчёт по дому 58 корп.1 по ул. Новоселов</t>
  </si>
  <si>
    <t xml:space="preserve"> Отчёт по дому 58 корп.2 по ул. Новоселов</t>
  </si>
  <si>
    <t>Долг по начислениям</t>
  </si>
  <si>
    <t xml:space="preserve">2010 г. </t>
  </si>
  <si>
    <t>2010 г.</t>
  </si>
  <si>
    <t xml:space="preserve">2011 г. </t>
  </si>
  <si>
    <t>2011 г.</t>
  </si>
  <si>
    <t>июнь-дек.2007г.</t>
  </si>
  <si>
    <t>Поступление прочие</t>
  </si>
  <si>
    <t>Прочие начисления</t>
  </si>
  <si>
    <t>Прочие поступления</t>
  </si>
  <si>
    <t>2012 г.</t>
  </si>
  <si>
    <t xml:space="preserve">июнь-декабрь 2007 г. </t>
  </si>
  <si>
    <t>Общий отчёт по ЖСК "Металл"</t>
  </si>
  <si>
    <t>ТСЖ</t>
  </si>
  <si>
    <t>Июль - декабрь 2006г.</t>
  </si>
  <si>
    <t>Январь - декабрь 2007г.</t>
  </si>
  <si>
    <t>Январь - декабрь 2008г.</t>
  </si>
  <si>
    <t>Январь - декабрь 2009г.</t>
  </si>
  <si>
    <t>Январь - декабрь 2010г.</t>
  </si>
  <si>
    <t>Январь - декабрь 2011г.</t>
  </si>
  <si>
    <t>Январь - декабрь 2012г.</t>
  </si>
  <si>
    <t>Общий отчёт по ЖСК "Аэрофлот"</t>
  </si>
  <si>
    <t>Общий отчёт по ТСЖ "Холодильщик - 2"</t>
  </si>
  <si>
    <t>Общий отчёт по ТСЖ "им. Петрова "</t>
  </si>
  <si>
    <t>Общий отчёт по ЖСК "Учитель - 5 "</t>
  </si>
  <si>
    <t>Общий отчёт по ТСЖ "Дружба"</t>
  </si>
  <si>
    <t>Февраль - декабрь 2007г.</t>
  </si>
  <si>
    <t>Общий отчёт по ТСЖ "У фонтана"</t>
  </si>
  <si>
    <t>Февраль - декабрь 2008г.</t>
  </si>
  <si>
    <t>Долг по поступле-ниям</t>
  </si>
  <si>
    <t>Долг по начисле-ниям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</si>
</sst>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"/>
    <numFmt numFmtId="179" formatCode="#,##0.0&quot;р.&quot;"/>
    <numFmt numFmtId="180" formatCode="#,##0.0"/>
  </numFmts>
  <fonts count="8">
    <font>
      <sz val="10"/>
      <name val="Arial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0" xfId="17">
      <alignment/>
      <protection/>
    </xf>
    <xf numFmtId="172" fontId="2" fillId="0" borderId="0" xfId="17" applyNumberFormat="1" applyFont="1" applyBorder="1" applyAlignment="1">
      <alignment/>
      <protection/>
    </xf>
    <xf numFmtId="0" fontId="1" fillId="0" borderId="0" xfId="17" applyFont="1" applyFill="1" applyBorder="1">
      <alignment/>
      <protection/>
    </xf>
    <xf numFmtId="172" fontId="5" fillId="0" borderId="0" xfId="17" applyNumberFormat="1" applyBorder="1">
      <alignment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3" xfId="17" applyFont="1" applyBorder="1">
      <alignment/>
      <protection/>
    </xf>
    <xf numFmtId="172" fontId="5" fillId="0" borderId="4" xfId="17" applyNumberFormat="1" applyBorder="1">
      <alignment/>
      <protection/>
    </xf>
    <xf numFmtId="172" fontId="5" fillId="0" borderId="5" xfId="17" applyNumberFormat="1" applyBorder="1">
      <alignment/>
      <protection/>
    </xf>
    <xf numFmtId="172" fontId="5" fillId="0" borderId="6" xfId="17" applyNumberFormat="1" applyBorder="1">
      <alignment/>
      <protection/>
    </xf>
    <xf numFmtId="0" fontId="1" fillId="0" borderId="7" xfId="17" applyFont="1" applyBorder="1">
      <alignment/>
      <protection/>
    </xf>
    <xf numFmtId="172" fontId="5" fillId="0" borderId="8" xfId="17" applyNumberFormat="1" applyBorder="1">
      <alignment/>
      <protection/>
    </xf>
    <xf numFmtId="172" fontId="5" fillId="0" borderId="9" xfId="17" applyNumberFormat="1" applyBorder="1">
      <alignment/>
      <protection/>
    </xf>
    <xf numFmtId="172" fontId="5" fillId="0" borderId="10" xfId="17" applyNumberFormat="1" applyBorder="1">
      <alignment/>
      <protection/>
    </xf>
    <xf numFmtId="172" fontId="5" fillId="0" borderId="11" xfId="17" applyNumberFormat="1" applyBorder="1">
      <alignment/>
      <protection/>
    </xf>
    <xf numFmtId="172" fontId="5" fillId="0" borderId="12" xfId="17" applyNumberFormat="1" applyBorder="1">
      <alignment/>
      <protection/>
    </xf>
    <xf numFmtId="172" fontId="5" fillId="0" borderId="13" xfId="17" applyNumberFormat="1" applyBorder="1">
      <alignment/>
      <protection/>
    </xf>
    <xf numFmtId="0" fontId="1" fillId="0" borderId="14" xfId="17" applyFont="1" applyBorder="1">
      <alignment/>
      <protection/>
    </xf>
    <xf numFmtId="0" fontId="1" fillId="0" borderId="15" xfId="17" applyFont="1" applyFill="1" applyBorder="1">
      <alignment/>
      <protection/>
    </xf>
    <xf numFmtId="172" fontId="5" fillId="0" borderId="16" xfId="17" applyNumberFormat="1" applyBorder="1">
      <alignment/>
      <protection/>
    </xf>
    <xf numFmtId="172" fontId="5" fillId="0" borderId="17" xfId="17" applyNumberFormat="1" applyBorder="1">
      <alignment/>
      <protection/>
    </xf>
    <xf numFmtId="172" fontId="5" fillId="0" borderId="18" xfId="17" applyNumberFormat="1" applyBorder="1">
      <alignment/>
      <protection/>
    </xf>
    <xf numFmtId="172" fontId="3" fillId="0" borderId="0" xfId="17" applyNumberFormat="1" applyFont="1" applyBorder="1" applyAlignment="1">
      <alignment/>
      <protection/>
    </xf>
    <xf numFmtId="172" fontId="5" fillId="0" borderId="19" xfId="17" applyNumberFormat="1" applyBorder="1">
      <alignment/>
      <protection/>
    </xf>
    <xf numFmtId="172" fontId="5" fillId="0" borderId="20" xfId="17" applyNumberFormat="1" applyBorder="1">
      <alignment/>
      <protection/>
    </xf>
    <xf numFmtId="172" fontId="5" fillId="0" borderId="21" xfId="17" applyNumberFormat="1" applyBorder="1">
      <alignment/>
      <protection/>
    </xf>
    <xf numFmtId="172" fontId="5" fillId="0" borderId="22" xfId="17" applyNumberFormat="1" applyBorder="1">
      <alignment/>
      <protection/>
    </xf>
    <xf numFmtId="172" fontId="5" fillId="0" borderId="23" xfId="17" applyNumberFormat="1" applyBorder="1">
      <alignment/>
      <protection/>
    </xf>
    <xf numFmtId="172" fontId="5" fillId="0" borderId="24" xfId="17" applyNumberFormat="1" applyBorder="1">
      <alignment/>
      <protection/>
    </xf>
    <xf numFmtId="172" fontId="5" fillId="0" borderId="25" xfId="17" applyNumberFormat="1" applyBorder="1">
      <alignment/>
      <protection/>
    </xf>
    <xf numFmtId="0" fontId="1" fillId="0" borderId="26" xfId="17" applyFont="1" applyBorder="1">
      <alignment/>
      <protection/>
    </xf>
    <xf numFmtId="172" fontId="5" fillId="0" borderId="27" xfId="17" applyNumberFormat="1" applyBorder="1">
      <alignment/>
      <protection/>
    </xf>
    <xf numFmtId="172" fontId="5" fillId="0" borderId="28" xfId="17" applyNumberFormat="1" applyBorder="1">
      <alignment/>
      <protection/>
    </xf>
    <xf numFmtId="0" fontId="1" fillId="0" borderId="29" xfId="17" applyFont="1" applyBorder="1">
      <alignment/>
      <protection/>
    </xf>
    <xf numFmtId="172" fontId="5" fillId="0" borderId="30" xfId="17" applyNumberFormat="1" applyBorder="1">
      <alignment/>
      <protection/>
    </xf>
    <xf numFmtId="172" fontId="5" fillId="0" borderId="31" xfId="17" applyNumberFormat="1" applyBorder="1">
      <alignment/>
      <protection/>
    </xf>
    <xf numFmtId="172" fontId="5" fillId="0" borderId="32" xfId="17" applyNumberFormat="1" applyBorder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1" fillId="0" borderId="1" xfId="17" applyFont="1" applyBorder="1" applyAlignment="1">
      <alignment horizontal="center" vertical="center" wrapText="1"/>
      <protection/>
    </xf>
    <xf numFmtId="172" fontId="5" fillId="0" borderId="1" xfId="17" applyNumberFormat="1" applyBorder="1">
      <alignment/>
      <protection/>
    </xf>
    <xf numFmtId="0" fontId="1" fillId="0" borderId="33" xfId="17" applyFont="1" applyBorder="1">
      <alignment/>
      <protection/>
    </xf>
    <xf numFmtId="0" fontId="1" fillId="0" borderId="34" xfId="17" applyFont="1" applyBorder="1">
      <alignment/>
      <protection/>
    </xf>
    <xf numFmtId="0" fontId="1" fillId="0" borderId="35" xfId="17" applyFont="1" applyBorder="1">
      <alignment/>
      <protection/>
    </xf>
    <xf numFmtId="0" fontId="1" fillId="0" borderId="36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8" xfId="17" applyFont="1" applyBorder="1">
      <alignment/>
      <protection/>
    </xf>
    <xf numFmtId="172" fontId="5" fillId="0" borderId="37" xfId="17" applyNumberFormat="1" applyBorder="1">
      <alignment/>
      <protection/>
    </xf>
    <xf numFmtId="172" fontId="5" fillId="0" borderId="38" xfId="17" applyNumberFormat="1" applyBorder="1">
      <alignment/>
      <protection/>
    </xf>
    <xf numFmtId="172" fontId="5" fillId="0" borderId="39" xfId="17" applyNumberFormat="1" applyBorder="1">
      <alignment/>
      <protection/>
    </xf>
    <xf numFmtId="0" fontId="1" fillId="0" borderId="37" xfId="17" applyFont="1" applyBorder="1">
      <alignment/>
      <protection/>
    </xf>
    <xf numFmtId="0" fontId="1" fillId="0" borderId="38" xfId="17" applyFont="1" applyBorder="1">
      <alignment/>
      <protection/>
    </xf>
    <xf numFmtId="0" fontId="1" fillId="0" borderId="39" xfId="17" applyFont="1" applyBorder="1">
      <alignment/>
      <protection/>
    </xf>
    <xf numFmtId="172" fontId="0" fillId="0" borderId="37" xfId="0" applyNumberFormat="1" applyBorder="1" applyAlignment="1">
      <alignment/>
    </xf>
    <xf numFmtId="2" fontId="0" fillId="0" borderId="37" xfId="0" applyNumberFormat="1" applyBorder="1" applyAlignment="1">
      <alignment/>
    </xf>
    <xf numFmtId="172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39" xfId="0" applyNumberFormat="1" applyFont="1" applyBorder="1" applyAlignment="1">
      <alignment/>
    </xf>
    <xf numFmtId="2" fontId="0" fillId="0" borderId="39" xfId="0" applyNumberFormat="1" applyBorder="1" applyAlignment="1">
      <alignment/>
    </xf>
    <xf numFmtId="0" fontId="7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/>
    </xf>
    <xf numFmtId="172" fontId="0" fillId="0" borderId="37" xfId="0" applyNumberFormat="1" applyBorder="1" applyAlignment="1">
      <alignment horizontal="right"/>
    </xf>
    <xf numFmtId="172" fontId="0" fillId="0" borderId="38" xfId="0" applyNumberFormat="1" applyBorder="1" applyAlignment="1">
      <alignment horizontal="right"/>
    </xf>
    <xf numFmtId="43" fontId="0" fillId="0" borderId="39" xfId="0" applyNumberForma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5" fillId="0" borderId="0" xfId="17" applyBorder="1">
      <alignment/>
      <protection/>
    </xf>
    <xf numFmtId="0" fontId="1" fillId="0" borderId="0" xfId="17" applyFont="1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/>
      <protection/>
    </xf>
    <xf numFmtId="172" fontId="2" fillId="0" borderId="0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/>
      <protection/>
    </xf>
    <xf numFmtId="0" fontId="1" fillId="0" borderId="42" xfId="17" applyFont="1" applyBorder="1" applyAlignment="1">
      <alignment horizontal="center" vertical="center" wrapText="1"/>
      <protection/>
    </xf>
    <xf numFmtId="0" fontId="1" fillId="0" borderId="43" xfId="17" applyFont="1" applyBorder="1" applyAlignment="1">
      <alignment horizontal="center" vertical="center" wrapText="1"/>
      <protection/>
    </xf>
    <xf numFmtId="0" fontId="1" fillId="0" borderId="44" xfId="17" applyFont="1" applyBorder="1" applyAlignment="1">
      <alignment horizontal="center" vertical="center" wrapText="1"/>
      <protection/>
    </xf>
    <xf numFmtId="0" fontId="1" fillId="0" borderId="45" xfId="17" applyFont="1" applyBorder="1" applyAlignment="1">
      <alignment horizontal="center" vertical="center" wrapText="1"/>
      <protection/>
    </xf>
    <xf numFmtId="0" fontId="1" fillId="0" borderId="46" xfId="17" applyFont="1" applyBorder="1" applyAlignment="1">
      <alignment horizontal="center" vertical="center" wrapText="1"/>
      <protection/>
    </xf>
    <xf numFmtId="0" fontId="1" fillId="0" borderId="47" xfId="17" applyFont="1" applyBorder="1" applyAlignment="1">
      <alignment horizontal="center" vertical="center" wrapText="1"/>
      <protection/>
    </xf>
    <xf numFmtId="0" fontId="1" fillId="0" borderId="48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49" xfId="17" applyFont="1" applyBorder="1" applyAlignment="1">
      <alignment horizontal="center" vertical="center" wrapText="1"/>
      <protection/>
    </xf>
    <xf numFmtId="0" fontId="1" fillId="0" borderId="50" xfId="17" applyFont="1" applyBorder="1" applyAlignment="1">
      <alignment horizontal="center" vertical="center" wrapText="1"/>
      <protection/>
    </xf>
    <xf numFmtId="0" fontId="1" fillId="0" borderId="33" xfId="17" applyFont="1" applyBorder="1" applyAlignment="1">
      <alignment horizontal="center" vertical="center" wrapText="1"/>
      <protection/>
    </xf>
    <xf numFmtId="0" fontId="1" fillId="0" borderId="51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Отчёт по ТСЖ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123"/>
  <sheetViews>
    <sheetView workbookViewId="0" topLeftCell="A85">
      <selection activeCell="N21" sqref="N21"/>
    </sheetView>
  </sheetViews>
  <sheetFormatPr defaultColWidth="9.140625" defaultRowHeight="12.75"/>
  <cols>
    <col min="1" max="1" width="15.28125" style="0" customWidth="1"/>
    <col min="2" max="5" width="15.00390625" style="0" customWidth="1"/>
    <col min="6" max="7" width="14.28125" style="0" customWidth="1"/>
    <col min="8" max="8" width="15.8515625" style="0" customWidth="1"/>
    <col min="9" max="9" width="14.7109375" style="0" customWidth="1"/>
    <col min="10" max="10" width="3.8515625" style="0" customWidth="1"/>
  </cols>
  <sheetData>
    <row r="1" spans="1:8" ht="15.75" customHeight="1" thickBot="1">
      <c r="A1" s="1"/>
      <c r="B1" s="87" t="s">
        <v>11</v>
      </c>
      <c r="C1" s="88"/>
      <c r="D1" s="88"/>
      <c r="E1" s="88"/>
      <c r="F1" s="88"/>
      <c r="G1" s="88"/>
      <c r="H1" s="2"/>
    </row>
    <row r="2" spans="1:9" ht="15.75" customHeight="1" thickBot="1" thickTop="1">
      <c r="A2" s="84"/>
      <c r="B2" s="84" t="s">
        <v>0</v>
      </c>
      <c r="C2" s="84" t="s">
        <v>1</v>
      </c>
      <c r="D2" s="85" t="s">
        <v>30</v>
      </c>
      <c r="E2" s="84" t="s">
        <v>2</v>
      </c>
      <c r="F2" s="84" t="s">
        <v>3</v>
      </c>
      <c r="G2" s="84"/>
      <c r="H2" s="84" t="s">
        <v>10</v>
      </c>
      <c r="I2" s="84" t="s">
        <v>24</v>
      </c>
    </row>
    <row r="3" spans="1:9" ht="15.75" customHeight="1" thickBot="1" thickTop="1">
      <c r="A3" s="84"/>
      <c r="B3" s="84"/>
      <c r="C3" s="84"/>
      <c r="D3" s="86"/>
      <c r="E3" s="84"/>
      <c r="F3" s="3" t="s">
        <v>4</v>
      </c>
      <c r="G3" s="3" t="s">
        <v>5</v>
      </c>
      <c r="H3" s="84"/>
      <c r="I3" s="84"/>
    </row>
    <row r="4" spans="1:9" ht="14.25" thickBot="1" thickTop="1">
      <c r="A4" s="4" t="s">
        <v>8</v>
      </c>
      <c r="B4" s="5">
        <f>3723533+336488</f>
        <v>4060021</v>
      </c>
      <c r="C4" s="5">
        <v>4007475</v>
      </c>
      <c r="D4" s="5">
        <v>0</v>
      </c>
      <c r="E4" s="5">
        <v>4061726</v>
      </c>
      <c r="F4" s="5">
        <v>822760</v>
      </c>
      <c r="G4" s="5">
        <v>752125</v>
      </c>
      <c r="H4" s="5">
        <f>E4-C4</f>
        <v>54251</v>
      </c>
      <c r="I4" s="9">
        <f>E4-B4</f>
        <v>1705</v>
      </c>
    </row>
    <row r="5" spans="1:9" ht="15.75" customHeight="1" thickBot="1" thickTop="1">
      <c r="A5" s="6" t="s">
        <v>7</v>
      </c>
      <c r="B5" s="5">
        <v>4696554</v>
      </c>
      <c r="C5" s="5">
        <v>4581715</v>
      </c>
      <c r="D5" s="5">
        <v>0</v>
      </c>
      <c r="E5" s="5">
        <v>4554441</v>
      </c>
      <c r="F5" s="5">
        <v>945000</v>
      </c>
      <c r="G5" s="5">
        <v>852590</v>
      </c>
      <c r="H5" s="5">
        <f>E5-C5</f>
        <v>-27274</v>
      </c>
      <c r="I5" s="9">
        <f>E5-B5</f>
        <v>-142113</v>
      </c>
    </row>
    <row r="6" spans="1:9" ht="15.75" customHeight="1" thickBot="1" thickTop="1">
      <c r="A6" s="4" t="s">
        <v>25</v>
      </c>
      <c r="B6" s="5">
        <f>1175125+1175122+1175122+1173696</f>
        <v>4699065</v>
      </c>
      <c r="C6" s="5">
        <f>1053933+1161135+1173326+1283825</f>
        <v>4672219</v>
      </c>
      <c r="D6" s="5">
        <v>0</v>
      </c>
      <c r="E6" s="5">
        <f>1058919+1125420+1109190+1135879</f>
        <v>4429408</v>
      </c>
      <c r="F6" s="5">
        <f>211761+211761+211761+211761</f>
        <v>847044</v>
      </c>
      <c r="G6" s="5">
        <f>133819+177117+196901+200950</f>
        <v>708787</v>
      </c>
      <c r="H6" s="5">
        <f>E6-C6</f>
        <v>-242811</v>
      </c>
      <c r="I6" s="9">
        <f>E6-B6</f>
        <v>-269657</v>
      </c>
    </row>
    <row r="7" spans="1:9" ht="15.75" customHeight="1" thickBot="1" thickTop="1">
      <c r="A7" s="4" t="s">
        <v>27</v>
      </c>
      <c r="B7" s="5">
        <v>5394140</v>
      </c>
      <c r="C7" s="5">
        <f>5261451</f>
        <v>5261451</v>
      </c>
      <c r="D7" s="5">
        <v>172331</v>
      </c>
      <c r="E7" s="5">
        <v>4955633</v>
      </c>
      <c r="F7" s="5">
        <v>1286052</v>
      </c>
      <c r="G7" s="5">
        <v>745975</v>
      </c>
      <c r="H7" s="5">
        <f>E7-C7-D7</f>
        <v>-478149</v>
      </c>
      <c r="I7" s="9">
        <f>E7-B7</f>
        <v>-438507</v>
      </c>
    </row>
    <row r="8" spans="1:9" ht="15.75" customHeight="1" thickBot="1" thickTop="1">
      <c r="A8" s="7" t="s">
        <v>6</v>
      </c>
      <c r="B8" s="5">
        <f aca="true" t="shared" si="0" ref="B8:G8">SUM(B4:B7)</f>
        <v>18849780</v>
      </c>
      <c r="C8" s="5">
        <f t="shared" si="0"/>
        <v>18522860</v>
      </c>
      <c r="D8" s="5">
        <f t="shared" si="0"/>
        <v>172331</v>
      </c>
      <c r="E8" s="5">
        <f t="shared" si="0"/>
        <v>18001208</v>
      </c>
      <c r="F8" s="5">
        <f t="shared" si="0"/>
        <v>3900856</v>
      </c>
      <c r="G8" s="5">
        <f t="shared" si="0"/>
        <v>3059477</v>
      </c>
      <c r="H8" s="8">
        <f>E8-C8-D8</f>
        <v>-693983</v>
      </c>
      <c r="I8" s="9">
        <f>E8-B8</f>
        <v>-848572</v>
      </c>
    </row>
    <row r="9" spans="1:8" ht="15.75" customHeight="1" thickBot="1" thickTop="1">
      <c r="A9" s="1"/>
      <c r="B9" s="87" t="s">
        <v>12</v>
      </c>
      <c r="C9" s="88"/>
      <c r="D9" s="88"/>
      <c r="E9" s="88"/>
      <c r="F9" s="88"/>
      <c r="G9" s="88"/>
      <c r="H9" s="2"/>
    </row>
    <row r="10" spans="1:9" ht="15.75" customHeight="1" thickBot="1" thickTop="1">
      <c r="A10" s="84"/>
      <c r="B10" s="84" t="s">
        <v>0</v>
      </c>
      <c r="C10" s="84" t="s">
        <v>1</v>
      </c>
      <c r="D10" s="85" t="s">
        <v>30</v>
      </c>
      <c r="E10" s="84" t="s">
        <v>2</v>
      </c>
      <c r="F10" s="84" t="s">
        <v>3</v>
      </c>
      <c r="G10" s="84"/>
      <c r="H10" s="84" t="s">
        <v>10</v>
      </c>
      <c r="I10" s="84" t="s">
        <v>24</v>
      </c>
    </row>
    <row r="11" spans="1:9" ht="15.75" customHeight="1" thickBot="1" thickTop="1">
      <c r="A11" s="84"/>
      <c r="B11" s="84"/>
      <c r="C11" s="84"/>
      <c r="D11" s="86"/>
      <c r="E11" s="84"/>
      <c r="F11" s="3" t="s">
        <v>4</v>
      </c>
      <c r="G11" s="3" t="s">
        <v>5</v>
      </c>
      <c r="H11" s="84"/>
      <c r="I11" s="84"/>
    </row>
    <row r="12" spans="1:9" ht="15" customHeight="1" thickBot="1" thickTop="1">
      <c r="A12" s="4" t="s">
        <v>29</v>
      </c>
      <c r="B12" s="5">
        <f>1282330+144704</f>
        <v>1427034</v>
      </c>
      <c r="C12" s="5">
        <v>1508216</v>
      </c>
      <c r="D12" s="5">
        <v>0</v>
      </c>
      <c r="E12" s="5">
        <v>1331406</v>
      </c>
      <c r="F12" s="5"/>
      <c r="G12" s="5">
        <v>223082</v>
      </c>
      <c r="H12" s="5">
        <f>E12-C12</f>
        <v>-176810</v>
      </c>
      <c r="I12" s="9">
        <f aca="true" t="shared" si="1" ref="I12:I17">E12-B12</f>
        <v>-95628</v>
      </c>
    </row>
    <row r="13" spans="1:9" ht="15.75" customHeight="1" thickBot="1" thickTop="1">
      <c r="A13" s="4" t="s">
        <v>8</v>
      </c>
      <c r="B13" s="5">
        <f>2505038+285369</f>
        <v>2790407</v>
      </c>
      <c r="C13" s="5">
        <v>2707799</v>
      </c>
      <c r="D13" s="5">
        <v>0</v>
      </c>
      <c r="E13" s="5">
        <v>2767885</v>
      </c>
      <c r="F13" s="5">
        <v>607290</v>
      </c>
      <c r="G13" s="5">
        <v>606723</v>
      </c>
      <c r="H13" s="5">
        <f>E13-C13</f>
        <v>60086</v>
      </c>
      <c r="I13" s="9">
        <f t="shared" si="1"/>
        <v>-22522</v>
      </c>
    </row>
    <row r="14" spans="1:9" ht="15.75" customHeight="1" thickBot="1" thickTop="1">
      <c r="A14" s="6" t="s">
        <v>7</v>
      </c>
      <c r="B14" s="5">
        <v>3214980</v>
      </c>
      <c r="C14" s="5">
        <v>3105458</v>
      </c>
      <c r="D14" s="5">
        <v>0</v>
      </c>
      <c r="E14" s="5">
        <v>3101750</v>
      </c>
      <c r="F14" s="5">
        <v>774720</v>
      </c>
      <c r="G14" s="5">
        <v>630783</v>
      </c>
      <c r="H14" s="5">
        <f>E14-C14</f>
        <v>-3708</v>
      </c>
      <c r="I14" s="9">
        <f t="shared" si="1"/>
        <v>-113230</v>
      </c>
    </row>
    <row r="15" spans="1:9" ht="16.5" customHeight="1" thickBot="1" thickTop="1">
      <c r="A15" s="4" t="s">
        <v>26</v>
      </c>
      <c r="B15" s="5">
        <f>805363+809967+809836+809717</f>
        <v>3234883</v>
      </c>
      <c r="C15" s="5">
        <f>705873+752771+783375+849114</f>
        <v>3091133</v>
      </c>
      <c r="D15" s="5">
        <v>0</v>
      </c>
      <c r="E15" s="5">
        <f>746759+761129+757675+739559</f>
        <v>3005122</v>
      </c>
      <c r="F15" s="5">
        <f>186675+186675+186675+186675</f>
        <v>746700</v>
      </c>
      <c r="G15" s="5">
        <f>93321+131228+191487+163239</f>
        <v>579275</v>
      </c>
      <c r="H15" s="5">
        <f>E15-C15</f>
        <v>-86011</v>
      </c>
      <c r="I15" s="9">
        <f t="shared" si="1"/>
        <v>-229761</v>
      </c>
    </row>
    <row r="16" spans="1:9" ht="15.75" customHeight="1" thickBot="1" thickTop="1">
      <c r="A16" s="4" t="s">
        <v>28</v>
      </c>
      <c r="B16" s="5">
        <v>3723844</v>
      </c>
      <c r="C16" s="5">
        <f>3568851</f>
        <v>3568851</v>
      </c>
      <c r="D16" s="5">
        <v>121124</v>
      </c>
      <c r="E16" s="5">
        <v>3338760</v>
      </c>
      <c r="F16" s="5">
        <v>1063524</v>
      </c>
      <c r="G16" s="5">
        <v>714776</v>
      </c>
      <c r="H16" s="5">
        <f>E16-C16-D16</f>
        <v>-351215</v>
      </c>
      <c r="I16" s="9">
        <f t="shared" si="1"/>
        <v>-385084</v>
      </c>
    </row>
    <row r="17" spans="1:9" ht="15.75" customHeight="1" thickBot="1" thickTop="1">
      <c r="A17" s="7" t="s">
        <v>6</v>
      </c>
      <c r="B17" s="5">
        <f aca="true" t="shared" si="2" ref="B17:G17">SUM(B12:B16)</f>
        <v>14391148</v>
      </c>
      <c r="C17" s="5">
        <f t="shared" si="2"/>
        <v>13981457</v>
      </c>
      <c r="D17" s="5">
        <f t="shared" si="2"/>
        <v>121124</v>
      </c>
      <c r="E17" s="5">
        <f t="shared" si="2"/>
        <v>13544923</v>
      </c>
      <c r="F17" s="5">
        <f t="shared" si="2"/>
        <v>3192234</v>
      </c>
      <c r="G17" s="5">
        <f t="shared" si="2"/>
        <v>2754639</v>
      </c>
      <c r="H17" s="8">
        <f>E17-C17-D17</f>
        <v>-557658</v>
      </c>
      <c r="I17" s="9">
        <f t="shared" si="1"/>
        <v>-846225</v>
      </c>
    </row>
    <row r="18" spans="1:8" ht="15.75" customHeight="1" thickBot="1" thickTop="1">
      <c r="A18" s="1"/>
      <c r="B18" s="87" t="s">
        <v>13</v>
      </c>
      <c r="C18" s="88"/>
      <c r="D18" s="88"/>
      <c r="E18" s="88"/>
      <c r="F18" s="88"/>
      <c r="G18" s="88"/>
      <c r="H18" s="2"/>
    </row>
    <row r="19" spans="1:9" ht="15.75" customHeight="1" thickBot="1" thickTop="1">
      <c r="A19" s="84"/>
      <c r="B19" s="84" t="s">
        <v>0</v>
      </c>
      <c r="C19" s="84" t="s">
        <v>1</v>
      </c>
      <c r="D19" s="85" t="s">
        <v>30</v>
      </c>
      <c r="E19" s="84" t="s">
        <v>2</v>
      </c>
      <c r="F19" s="84" t="s">
        <v>3</v>
      </c>
      <c r="G19" s="84"/>
      <c r="H19" s="84" t="s">
        <v>10</v>
      </c>
      <c r="I19" s="84" t="s">
        <v>24</v>
      </c>
    </row>
    <row r="20" spans="1:9" ht="15.75" customHeight="1" thickBot="1" thickTop="1">
      <c r="A20" s="84"/>
      <c r="B20" s="84"/>
      <c r="C20" s="84"/>
      <c r="D20" s="86"/>
      <c r="E20" s="84"/>
      <c r="F20" s="3" t="s">
        <v>4</v>
      </c>
      <c r="G20" s="3" t="s">
        <v>5</v>
      </c>
      <c r="H20" s="84"/>
      <c r="I20" s="84"/>
    </row>
    <row r="21" spans="1:9" ht="15.75" customHeight="1" thickBot="1" thickTop="1">
      <c r="A21" s="4" t="s">
        <v>9</v>
      </c>
      <c r="B21" s="5">
        <f>364763+40443</f>
        <v>405206</v>
      </c>
      <c r="C21" s="5">
        <v>401997</v>
      </c>
      <c r="D21" s="5">
        <v>0</v>
      </c>
      <c r="E21" s="5">
        <v>436171</v>
      </c>
      <c r="F21" s="5">
        <v>112440</v>
      </c>
      <c r="G21" s="5">
        <v>141759</v>
      </c>
      <c r="H21" s="5">
        <f>E21-C21</f>
        <v>34174</v>
      </c>
      <c r="I21" s="9">
        <f aca="true" t="shared" si="3" ref="I21:I26">E21-B21</f>
        <v>30965</v>
      </c>
    </row>
    <row r="22" spans="1:9" ht="15.75" customHeight="1" thickBot="1" thickTop="1">
      <c r="A22" s="4" t="s">
        <v>8</v>
      </c>
      <c r="B22" s="5">
        <f>404946+49956</f>
        <v>454902</v>
      </c>
      <c r="C22" s="5">
        <v>438815</v>
      </c>
      <c r="D22" s="5">
        <v>0</v>
      </c>
      <c r="E22" s="5">
        <v>518795</v>
      </c>
      <c r="F22" s="5">
        <v>89230</v>
      </c>
      <c r="G22" s="5">
        <v>163083</v>
      </c>
      <c r="H22" s="5">
        <f>E22-C22</f>
        <v>79980</v>
      </c>
      <c r="I22" s="9">
        <f t="shared" si="3"/>
        <v>63893</v>
      </c>
    </row>
    <row r="23" spans="1:9" ht="15.75" customHeight="1" thickBot="1" thickTop="1">
      <c r="A23" s="6" t="s">
        <v>7</v>
      </c>
      <c r="B23" s="5">
        <v>524463</v>
      </c>
      <c r="C23" s="5">
        <v>518898</v>
      </c>
      <c r="D23" s="5">
        <v>0</v>
      </c>
      <c r="E23" s="5">
        <v>593045</v>
      </c>
      <c r="F23" s="5">
        <v>115800</v>
      </c>
      <c r="G23" s="5">
        <v>193845</v>
      </c>
      <c r="H23" s="5">
        <f>E23-C23</f>
        <v>74147</v>
      </c>
      <c r="I23" s="9">
        <f t="shared" si="3"/>
        <v>68582</v>
      </c>
    </row>
    <row r="24" spans="1:9" ht="15.75" customHeight="1" thickBot="1" thickTop="1">
      <c r="A24" s="4" t="s">
        <v>25</v>
      </c>
      <c r="B24" s="5">
        <f>131116+131116+131116+131116</f>
        <v>524464</v>
      </c>
      <c r="C24" s="5">
        <f>129606+124346+132203+139667</f>
        <v>525822</v>
      </c>
      <c r="D24" s="5">
        <v>0</v>
      </c>
      <c r="E24" s="5">
        <f>118260+132349+156928+229663</f>
        <v>637200</v>
      </c>
      <c r="F24" s="5">
        <f>32637+32637+32637+32637</f>
        <v>130548</v>
      </c>
      <c r="G24" s="5">
        <f>19799+30924+55058+119238</f>
        <v>225019</v>
      </c>
      <c r="H24" s="5">
        <f>E24-C24</f>
        <v>111378</v>
      </c>
      <c r="I24" s="9">
        <f t="shared" si="3"/>
        <v>112736</v>
      </c>
    </row>
    <row r="25" spans="1:9" ht="15.75" customHeight="1" thickBot="1" thickTop="1">
      <c r="A25" s="4" t="s">
        <v>27</v>
      </c>
      <c r="B25" s="5">
        <v>602756</v>
      </c>
      <c r="C25" s="5">
        <f>592272</f>
        <v>592272</v>
      </c>
      <c r="D25" s="5">
        <v>24063</v>
      </c>
      <c r="E25" s="5">
        <v>603026</v>
      </c>
      <c r="F25" s="5">
        <v>185592</v>
      </c>
      <c r="G25" s="5">
        <v>167157</v>
      </c>
      <c r="H25" s="5">
        <f>E25-C25-D25</f>
        <v>-13309</v>
      </c>
      <c r="I25" s="9">
        <f t="shared" si="3"/>
        <v>270</v>
      </c>
    </row>
    <row r="26" spans="1:9" ht="15.75" customHeight="1" thickBot="1" thickTop="1">
      <c r="A26" s="7" t="s">
        <v>6</v>
      </c>
      <c r="B26" s="5">
        <f aca="true" t="shared" si="4" ref="B26:G26">SUM(B21:B25)</f>
        <v>2511791</v>
      </c>
      <c r="C26" s="5">
        <f t="shared" si="4"/>
        <v>2477804</v>
      </c>
      <c r="D26" s="5">
        <f t="shared" si="4"/>
        <v>24063</v>
      </c>
      <c r="E26" s="5">
        <f t="shared" si="4"/>
        <v>2788237</v>
      </c>
      <c r="F26" s="5">
        <f t="shared" si="4"/>
        <v>633610</v>
      </c>
      <c r="G26" s="5">
        <f t="shared" si="4"/>
        <v>890863</v>
      </c>
      <c r="H26" s="8">
        <f>E26-C26-D26</f>
        <v>286370</v>
      </c>
      <c r="I26" s="9">
        <f t="shared" si="3"/>
        <v>276446</v>
      </c>
    </row>
    <row r="27" spans="1:8" ht="15.75" customHeight="1" thickBot="1" thickTop="1">
      <c r="A27" s="1"/>
      <c r="B27" s="87" t="s">
        <v>14</v>
      </c>
      <c r="C27" s="88"/>
      <c r="D27" s="88"/>
      <c r="E27" s="88"/>
      <c r="F27" s="88"/>
      <c r="G27" s="88"/>
      <c r="H27" s="2"/>
    </row>
    <row r="28" spans="1:9" ht="15.75" customHeight="1" thickBot="1" thickTop="1">
      <c r="A28" s="84"/>
      <c r="B28" s="84" t="s">
        <v>0</v>
      </c>
      <c r="C28" s="84" t="s">
        <v>1</v>
      </c>
      <c r="D28" s="85" t="s">
        <v>30</v>
      </c>
      <c r="E28" s="84" t="s">
        <v>2</v>
      </c>
      <c r="F28" s="84" t="s">
        <v>3</v>
      </c>
      <c r="G28" s="84"/>
      <c r="H28" s="84" t="s">
        <v>10</v>
      </c>
      <c r="I28" s="84" t="s">
        <v>24</v>
      </c>
    </row>
    <row r="29" spans="1:9" ht="15.75" customHeight="1" thickBot="1" thickTop="1">
      <c r="A29" s="84"/>
      <c r="B29" s="84"/>
      <c r="C29" s="84"/>
      <c r="D29" s="86"/>
      <c r="E29" s="84"/>
      <c r="F29" s="3" t="s">
        <v>4</v>
      </c>
      <c r="G29" s="3" t="s">
        <v>5</v>
      </c>
      <c r="H29" s="84"/>
      <c r="I29" s="84"/>
    </row>
    <row r="30" spans="1:9" ht="15.75" customHeight="1" thickBot="1" thickTop="1">
      <c r="A30" s="4" t="s">
        <v>9</v>
      </c>
      <c r="B30" s="5">
        <f>353062+41954</f>
        <v>395016</v>
      </c>
      <c r="C30" s="5">
        <v>411607</v>
      </c>
      <c r="D30" s="5">
        <v>0</v>
      </c>
      <c r="E30" s="5">
        <v>416288</v>
      </c>
      <c r="F30" s="5">
        <v>114240</v>
      </c>
      <c r="G30" s="5">
        <v>126753</v>
      </c>
      <c r="H30" s="5">
        <f>E30-C30</f>
        <v>4681</v>
      </c>
      <c r="I30" s="9">
        <f aca="true" t="shared" si="5" ref="I30:I35">E30-B30</f>
        <v>21272</v>
      </c>
    </row>
    <row r="31" spans="1:9" ht="15.75" customHeight="1" thickBot="1" thickTop="1">
      <c r="A31" s="4" t="s">
        <v>8</v>
      </c>
      <c r="B31" s="5">
        <f>398606+45340</f>
        <v>443946</v>
      </c>
      <c r="C31" s="5">
        <v>441073</v>
      </c>
      <c r="D31" s="5">
        <v>0</v>
      </c>
      <c r="E31" s="5">
        <v>567389</v>
      </c>
      <c r="F31" s="5">
        <v>85200</v>
      </c>
      <c r="G31" s="5">
        <v>212744</v>
      </c>
      <c r="H31" s="5">
        <f>E31-C31</f>
        <v>126316</v>
      </c>
      <c r="I31" s="9">
        <f t="shared" si="5"/>
        <v>123443</v>
      </c>
    </row>
    <row r="32" spans="1:9" ht="15.75" customHeight="1" thickBot="1" thickTop="1">
      <c r="A32" s="6" t="s">
        <v>7</v>
      </c>
      <c r="B32" s="5">
        <v>514854</v>
      </c>
      <c r="C32" s="5">
        <v>495937</v>
      </c>
      <c r="D32" s="5">
        <v>0</v>
      </c>
      <c r="E32" s="5">
        <v>588865</v>
      </c>
      <c r="F32" s="5">
        <v>116520</v>
      </c>
      <c r="G32" s="5">
        <v>209248</v>
      </c>
      <c r="H32" s="5">
        <f>E32-C32</f>
        <v>92928</v>
      </c>
      <c r="I32" s="9">
        <f t="shared" si="5"/>
        <v>74011</v>
      </c>
    </row>
    <row r="33" spans="1:9" ht="15.75" customHeight="1" thickBot="1" thickTop="1">
      <c r="A33" s="4" t="s">
        <v>25</v>
      </c>
      <c r="B33" s="5">
        <f>128714+128714+128714+128714</f>
        <v>514856</v>
      </c>
      <c r="C33" s="5">
        <f>120053+112737+124320+144403</f>
        <v>501513</v>
      </c>
      <c r="D33" s="5">
        <v>0</v>
      </c>
      <c r="E33" s="5">
        <f>119588+139225+149346+211094</f>
        <v>619253</v>
      </c>
      <c r="F33" s="5">
        <f>30201+30201+30201+30201</f>
        <v>120804</v>
      </c>
      <c r="G33" s="5">
        <f>25144+46199+55377+103183</f>
        <v>229903</v>
      </c>
      <c r="H33" s="5">
        <f>E33-C33</f>
        <v>117740</v>
      </c>
      <c r="I33" s="9">
        <f t="shared" si="5"/>
        <v>104397</v>
      </c>
    </row>
    <row r="34" spans="1:9" ht="15.75" customHeight="1" thickBot="1" thickTop="1">
      <c r="A34" s="4" t="s">
        <v>27</v>
      </c>
      <c r="B34" s="5">
        <v>591716</v>
      </c>
      <c r="C34" s="5">
        <f>578061</f>
        <v>578061</v>
      </c>
      <c r="D34" s="5">
        <v>23622</v>
      </c>
      <c r="E34" s="5">
        <v>601552</v>
      </c>
      <c r="F34" s="5">
        <v>183288</v>
      </c>
      <c r="G34" s="5">
        <v>177124</v>
      </c>
      <c r="H34" s="5">
        <f>E34-C34-D34</f>
        <v>-131</v>
      </c>
      <c r="I34" s="9">
        <f t="shared" si="5"/>
        <v>9836</v>
      </c>
    </row>
    <row r="35" spans="1:9" ht="15.75" customHeight="1" thickBot="1" thickTop="1">
      <c r="A35" s="7" t="s">
        <v>6</v>
      </c>
      <c r="B35" s="5">
        <f aca="true" t="shared" si="6" ref="B35:G35">SUM(B30:B34)</f>
        <v>2460388</v>
      </c>
      <c r="C35" s="5">
        <f t="shared" si="6"/>
        <v>2428191</v>
      </c>
      <c r="D35" s="5">
        <f t="shared" si="6"/>
        <v>23622</v>
      </c>
      <c r="E35" s="5">
        <f t="shared" si="6"/>
        <v>2793347</v>
      </c>
      <c r="F35" s="5">
        <f t="shared" si="6"/>
        <v>620052</v>
      </c>
      <c r="G35" s="5">
        <f t="shared" si="6"/>
        <v>955772</v>
      </c>
      <c r="H35" s="8">
        <f>E35-C35-D35</f>
        <v>341534</v>
      </c>
      <c r="I35" s="9">
        <f t="shared" si="5"/>
        <v>332959</v>
      </c>
    </row>
    <row r="36" spans="1:9" ht="15.75" customHeight="1" thickTop="1">
      <c r="A36" s="1"/>
      <c r="B36" s="2"/>
      <c r="C36" s="2"/>
      <c r="D36" s="2"/>
      <c r="E36" s="2"/>
      <c r="F36" s="2"/>
      <c r="G36" s="2"/>
      <c r="H36" s="10"/>
      <c r="I36" s="12"/>
    </row>
    <row r="37" spans="1:9" ht="15.75" customHeight="1">
      <c r="A37" s="1"/>
      <c r="B37" s="2"/>
      <c r="C37" s="2"/>
      <c r="D37" s="2"/>
      <c r="E37" s="2"/>
      <c r="F37" s="2"/>
      <c r="G37" s="2"/>
      <c r="H37" s="10"/>
      <c r="I37" s="12"/>
    </row>
    <row r="38" spans="1:8" ht="15.75" customHeight="1" thickBot="1">
      <c r="A38" s="1"/>
      <c r="B38" s="87" t="s">
        <v>15</v>
      </c>
      <c r="C38" s="88"/>
      <c r="D38" s="88"/>
      <c r="E38" s="88"/>
      <c r="F38" s="88"/>
      <c r="G38" s="88"/>
      <c r="H38" s="2"/>
    </row>
    <row r="39" spans="1:9" ht="15.75" customHeight="1" thickBot="1" thickTop="1">
      <c r="A39" s="84"/>
      <c r="B39" s="84" t="s">
        <v>0</v>
      </c>
      <c r="C39" s="84" t="s">
        <v>1</v>
      </c>
      <c r="D39" s="85" t="s">
        <v>30</v>
      </c>
      <c r="E39" s="84" t="s">
        <v>2</v>
      </c>
      <c r="F39" s="84" t="s">
        <v>3</v>
      </c>
      <c r="G39" s="84"/>
      <c r="H39" s="84" t="s">
        <v>10</v>
      </c>
      <c r="I39" s="84" t="s">
        <v>24</v>
      </c>
    </row>
    <row r="40" spans="1:9" ht="15.75" customHeight="1" thickBot="1" thickTop="1">
      <c r="A40" s="84"/>
      <c r="B40" s="84"/>
      <c r="C40" s="84"/>
      <c r="D40" s="86"/>
      <c r="E40" s="84"/>
      <c r="F40" s="3" t="s">
        <v>4</v>
      </c>
      <c r="G40" s="3" t="s">
        <v>5</v>
      </c>
      <c r="H40" s="84"/>
      <c r="I40" s="84"/>
    </row>
    <row r="41" spans="1:9" ht="15.75" customHeight="1" thickBot="1" thickTop="1">
      <c r="A41" s="4" t="s">
        <v>9</v>
      </c>
      <c r="B41" s="5">
        <f>354415+43452</f>
        <v>397867</v>
      </c>
      <c r="C41" s="5">
        <v>392731</v>
      </c>
      <c r="D41" s="5"/>
      <c r="E41" s="5">
        <v>372369</v>
      </c>
      <c r="F41" s="5">
        <v>121080</v>
      </c>
      <c r="G41" s="5">
        <v>97864</v>
      </c>
      <c r="H41" s="5">
        <f>E41-C41</f>
        <v>-20362</v>
      </c>
      <c r="I41" s="9">
        <f aca="true" t="shared" si="7" ref="I41:I46">E41-B41</f>
        <v>-25498</v>
      </c>
    </row>
    <row r="42" spans="1:9" ht="15.75" customHeight="1" thickBot="1" thickTop="1">
      <c r="A42" s="4" t="s">
        <v>8</v>
      </c>
      <c r="B42" s="5">
        <f>398414+50547</f>
        <v>448961</v>
      </c>
      <c r="C42" s="5">
        <v>446667</v>
      </c>
      <c r="D42" s="5"/>
      <c r="E42" s="5">
        <v>468942</v>
      </c>
      <c r="F42" s="5">
        <v>97980</v>
      </c>
      <c r="G42" s="5">
        <v>134950</v>
      </c>
      <c r="H42" s="5">
        <f>E42-C42</f>
        <v>22275</v>
      </c>
      <c r="I42" s="9">
        <f t="shared" si="7"/>
        <v>19981</v>
      </c>
    </row>
    <row r="43" spans="1:9" ht="15.75" customHeight="1" thickBot="1" thickTop="1">
      <c r="A43" s="6" t="s">
        <v>7</v>
      </c>
      <c r="B43" s="5">
        <v>517840</v>
      </c>
      <c r="C43" s="5">
        <v>504621</v>
      </c>
      <c r="D43" s="5"/>
      <c r="E43" s="5">
        <v>610937</v>
      </c>
      <c r="F43" s="5">
        <v>138600</v>
      </c>
      <c r="G43" s="5">
        <v>231669</v>
      </c>
      <c r="H43" s="5">
        <f>E43-C43</f>
        <v>106316</v>
      </c>
      <c r="I43" s="9">
        <f t="shared" si="7"/>
        <v>93097</v>
      </c>
    </row>
    <row r="44" spans="1:9" ht="15.75" customHeight="1" thickBot="1" thickTop="1">
      <c r="A44" s="4" t="s">
        <v>25</v>
      </c>
      <c r="B44" s="5">
        <f>129460+129460+129460+129460</f>
        <v>517840</v>
      </c>
      <c r="C44" s="5">
        <f>113558+136079+127680+132685</f>
        <v>510002</v>
      </c>
      <c r="D44" s="5"/>
      <c r="E44" s="5">
        <f>134127+168333+152864+147320</f>
        <v>602644</v>
      </c>
      <c r="F44" s="5">
        <f>36018+36018+36018+36018</f>
        <v>144072</v>
      </c>
      <c r="G44" s="5">
        <f>40406+63602+67112+60725</f>
        <v>231845</v>
      </c>
      <c r="H44" s="5">
        <f>E44-C44</f>
        <v>92642</v>
      </c>
      <c r="I44" s="9">
        <f t="shared" si="7"/>
        <v>84804</v>
      </c>
    </row>
    <row r="45" spans="1:9" ht="15.75" customHeight="1" thickBot="1" thickTop="1">
      <c r="A45" s="4" t="s">
        <v>27</v>
      </c>
      <c r="B45" s="5">
        <v>595161</v>
      </c>
      <c r="C45" s="5">
        <f>583496</f>
        <v>583496</v>
      </c>
      <c r="D45" s="5">
        <v>23759</v>
      </c>
      <c r="E45" s="5">
        <v>546475</v>
      </c>
      <c r="F45" s="5">
        <v>195996</v>
      </c>
      <c r="G45" s="5">
        <v>152387</v>
      </c>
      <c r="H45" s="5">
        <f>E45-C45-D45</f>
        <v>-60780</v>
      </c>
      <c r="I45" s="9">
        <f t="shared" si="7"/>
        <v>-48686</v>
      </c>
    </row>
    <row r="46" spans="1:9" ht="15.75" customHeight="1" thickBot="1" thickTop="1">
      <c r="A46" s="7" t="s">
        <v>6</v>
      </c>
      <c r="B46" s="5">
        <f aca="true" t="shared" si="8" ref="B46:G46">SUM(B41:B45)</f>
        <v>2477669</v>
      </c>
      <c r="C46" s="5">
        <f t="shared" si="8"/>
        <v>2437517</v>
      </c>
      <c r="D46" s="5">
        <f t="shared" si="8"/>
        <v>23759</v>
      </c>
      <c r="E46" s="5">
        <f t="shared" si="8"/>
        <v>2601367</v>
      </c>
      <c r="F46" s="5">
        <f t="shared" si="8"/>
        <v>697728</v>
      </c>
      <c r="G46" s="5">
        <f t="shared" si="8"/>
        <v>848715</v>
      </c>
      <c r="H46" s="8">
        <f>E46-C46-D46</f>
        <v>140091</v>
      </c>
      <c r="I46" s="9">
        <f t="shared" si="7"/>
        <v>123698</v>
      </c>
    </row>
    <row r="47" spans="1:8" ht="15.75" customHeight="1" thickBot="1" thickTop="1">
      <c r="A47" s="1"/>
      <c r="B47" s="87" t="s">
        <v>16</v>
      </c>
      <c r="C47" s="88"/>
      <c r="D47" s="88"/>
      <c r="E47" s="88"/>
      <c r="F47" s="88"/>
      <c r="G47" s="88"/>
      <c r="H47" s="2"/>
    </row>
    <row r="48" spans="1:9" ht="15.75" customHeight="1" thickBot="1" thickTop="1">
      <c r="A48" s="84"/>
      <c r="B48" s="84" t="s">
        <v>0</v>
      </c>
      <c r="C48" s="84" t="s">
        <v>1</v>
      </c>
      <c r="D48" s="85" t="s">
        <v>30</v>
      </c>
      <c r="E48" s="84" t="s">
        <v>2</v>
      </c>
      <c r="F48" s="84" t="s">
        <v>3</v>
      </c>
      <c r="G48" s="84"/>
      <c r="H48" s="84" t="s">
        <v>10</v>
      </c>
      <c r="I48" s="84" t="s">
        <v>24</v>
      </c>
    </row>
    <row r="49" spans="1:9" ht="15.75" customHeight="1" thickBot="1" thickTop="1">
      <c r="A49" s="84"/>
      <c r="B49" s="84"/>
      <c r="C49" s="84"/>
      <c r="D49" s="86"/>
      <c r="E49" s="84"/>
      <c r="F49" s="3" t="s">
        <v>4</v>
      </c>
      <c r="G49" s="3" t="s">
        <v>5</v>
      </c>
      <c r="H49" s="84"/>
      <c r="I49" s="84"/>
    </row>
    <row r="50" spans="1:9" ht="15.75" customHeight="1" thickBot="1" thickTop="1">
      <c r="A50" s="4" t="s">
        <v>9</v>
      </c>
      <c r="B50" s="5">
        <f>356671+42691</f>
        <v>399362</v>
      </c>
      <c r="C50" s="5">
        <v>383865</v>
      </c>
      <c r="D50" s="5"/>
      <c r="E50" s="5">
        <v>399108</v>
      </c>
      <c r="F50" s="5">
        <v>119160</v>
      </c>
      <c r="G50" s="5">
        <v>119492</v>
      </c>
      <c r="H50" s="5">
        <f>E50-C50</f>
        <v>15243</v>
      </c>
      <c r="I50" s="9">
        <f aca="true" t="shared" si="9" ref="I50:I55">E50-B50</f>
        <v>-254</v>
      </c>
    </row>
    <row r="51" spans="1:9" ht="15.75" customHeight="1" thickBot="1" thickTop="1">
      <c r="A51" s="4" t="s">
        <v>8</v>
      </c>
      <c r="B51" s="5">
        <f>396990+51253</f>
        <v>448243</v>
      </c>
      <c r="C51" s="5">
        <v>449134</v>
      </c>
      <c r="D51" s="5"/>
      <c r="E51" s="5">
        <v>459584</v>
      </c>
      <c r="F51" s="5">
        <v>98150</v>
      </c>
      <c r="G51" s="5">
        <v>130086</v>
      </c>
      <c r="H51" s="5">
        <f>E51-C51</f>
        <v>10450</v>
      </c>
      <c r="I51" s="9">
        <f t="shared" si="9"/>
        <v>11341</v>
      </c>
    </row>
    <row r="52" spans="1:9" ht="15.75" customHeight="1" thickBot="1" thickTop="1">
      <c r="A52" s="6" t="s">
        <v>7</v>
      </c>
      <c r="B52" s="5">
        <v>516790</v>
      </c>
      <c r="C52" s="5">
        <v>500098</v>
      </c>
      <c r="D52" s="5"/>
      <c r="E52" s="5">
        <v>597215</v>
      </c>
      <c r="F52" s="5">
        <v>128520</v>
      </c>
      <c r="G52" s="5">
        <v>207758</v>
      </c>
      <c r="H52" s="5">
        <f>E52-C52</f>
        <v>97117</v>
      </c>
      <c r="I52" s="9">
        <f t="shared" si="9"/>
        <v>80425</v>
      </c>
    </row>
    <row r="53" spans="1:9" ht="15.75" customHeight="1" thickBot="1" thickTop="1">
      <c r="A53" s="4" t="s">
        <v>26</v>
      </c>
      <c r="B53" s="5">
        <f>129198+129198+129198+129198</f>
        <v>516792</v>
      </c>
      <c r="C53" s="5">
        <f>111486+126552+134615+122956</f>
        <v>495609</v>
      </c>
      <c r="D53" s="5"/>
      <c r="E53" s="5">
        <f>118732+147826+183197+138626</f>
        <v>588381</v>
      </c>
      <c r="F53" s="5">
        <f>34848+34848+34848+34848</f>
        <v>139392</v>
      </c>
      <c r="G53" s="5">
        <f>23722+48141+82943+41835</f>
        <v>196641</v>
      </c>
      <c r="H53" s="5">
        <f>E53-C53</f>
        <v>92772</v>
      </c>
      <c r="I53" s="9">
        <f t="shared" si="9"/>
        <v>71589</v>
      </c>
    </row>
    <row r="54" spans="1:9" ht="15.75" customHeight="1" thickBot="1" thickTop="1">
      <c r="A54" s="4" t="s">
        <v>28</v>
      </c>
      <c r="B54" s="5">
        <v>593940</v>
      </c>
      <c r="C54" s="5">
        <f>583107</f>
        <v>583107</v>
      </c>
      <c r="D54" s="5">
        <v>23710</v>
      </c>
      <c r="E54" s="5">
        <v>578524</v>
      </c>
      <c r="F54" s="5">
        <v>180528</v>
      </c>
      <c r="G54" s="5">
        <v>147988</v>
      </c>
      <c r="H54" s="5">
        <f>E54-C54-D54</f>
        <v>-28293</v>
      </c>
      <c r="I54" s="9">
        <f t="shared" si="9"/>
        <v>-15416</v>
      </c>
    </row>
    <row r="55" spans="1:9" ht="15.75" customHeight="1" thickBot="1" thickTop="1">
      <c r="A55" s="7" t="s">
        <v>6</v>
      </c>
      <c r="B55" s="5">
        <f aca="true" t="shared" si="10" ref="B55:G55">SUM(B50:B54)</f>
        <v>2475127</v>
      </c>
      <c r="C55" s="5">
        <f t="shared" si="10"/>
        <v>2411813</v>
      </c>
      <c r="D55" s="5">
        <f t="shared" si="10"/>
        <v>23710</v>
      </c>
      <c r="E55" s="5">
        <f t="shared" si="10"/>
        <v>2622812</v>
      </c>
      <c r="F55" s="5">
        <f t="shared" si="10"/>
        <v>665750</v>
      </c>
      <c r="G55" s="5">
        <f t="shared" si="10"/>
        <v>801965</v>
      </c>
      <c r="H55" s="8">
        <f>E55-C55-D55</f>
        <v>187289</v>
      </c>
      <c r="I55" s="9">
        <f t="shared" si="9"/>
        <v>147685</v>
      </c>
    </row>
    <row r="56" spans="1:8" ht="15.75" customHeight="1" thickBot="1" thickTop="1">
      <c r="A56" s="1"/>
      <c r="B56" s="87" t="s">
        <v>17</v>
      </c>
      <c r="C56" s="88"/>
      <c r="D56" s="88"/>
      <c r="E56" s="88"/>
      <c r="F56" s="88"/>
      <c r="G56" s="88"/>
      <c r="H56" s="2"/>
    </row>
    <row r="57" spans="1:9" ht="15.75" customHeight="1" thickBot="1" thickTop="1">
      <c r="A57" s="84"/>
      <c r="B57" s="84" t="s">
        <v>0</v>
      </c>
      <c r="C57" s="84" t="s">
        <v>1</v>
      </c>
      <c r="D57" s="85" t="s">
        <v>30</v>
      </c>
      <c r="E57" s="84" t="s">
        <v>2</v>
      </c>
      <c r="F57" s="84" t="s">
        <v>3</v>
      </c>
      <c r="G57" s="84"/>
      <c r="H57" s="84" t="s">
        <v>10</v>
      </c>
      <c r="I57" s="84" t="s">
        <v>24</v>
      </c>
    </row>
    <row r="58" spans="1:9" ht="15.75" customHeight="1" thickBot="1" thickTop="1">
      <c r="A58" s="84"/>
      <c r="B58" s="84"/>
      <c r="C58" s="84"/>
      <c r="D58" s="86"/>
      <c r="E58" s="84"/>
      <c r="F58" s="3" t="s">
        <v>4</v>
      </c>
      <c r="G58" s="3" t="s">
        <v>5</v>
      </c>
      <c r="H58" s="84"/>
      <c r="I58" s="84"/>
    </row>
    <row r="59" spans="1:9" ht="15.75" customHeight="1" thickBot="1" thickTop="1">
      <c r="A59" s="4" t="s">
        <v>9</v>
      </c>
      <c r="B59" s="5">
        <f>2200195+269921</f>
        <v>2470116</v>
      </c>
      <c r="C59" s="5">
        <v>2402142</v>
      </c>
      <c r="D59" s="5"/>
      <c r="E59" s="5">
        <v>2610185</v>
      </c>
      <c r="F59" s="5">
        <v>427440</v>
      </c>
      <c r="G59" s="5">
        <v>570058</v>
      </c>
      <c r="H59" s="5">
        <f>E59-C59</f>
        <v>208043</v>
      </c>
      <c r="I59" s="9">
        <f aca="true" t="shared" si="11" ref="I59:I64">E59-B59</f>
        <v>140069</v>
      </c>
    </row>
    <row r="60" spans="1:9" ht="15.75" customHeight="1" thickBot="1" thickTop="1">
      <c r="A60" s="4" t="s">
        <v>8</v>
      </c>
      <c r="B60" s="5">
        <f>2494612+323963</f>
        <v>2818575</v>
      </c>
      <c r="C60" s="5">
        <v>2738700</v>
      </c>
      <c r="D60" s="5"/>
      <c r="E60" s="5">
        <v>3098335</v>
      </c>
      <c r="F60" s="5">
        <v>511700</v>
      </c>
      <c r="G60" s="5">
        <v>860185</v>
      </c>
      <c r="H60" s="5">
        <f>E60-C60</f>
        <v>359635</v>
      </c>
      <c r="I60" s="9">
        <f t="shared" si="11"/>
        <v>279760</v>
      </c>
    </row>
    <row r="61" spans="1:9" ht="15.75" customHeight="1" thickBot="1" thickTop="1">
      <c r="A61" s="6" t="s">
        <v>7</v>
      </c>
      <c r="B61" s="5">
        <v>3250299</v>
      </c>
      <c r="C61" s="5">
        <v>3186257</v>
      </c>
      <c r="D61" s="5"/>
      <c r="E61" s="5">
        <v>3499859</v>
      </c>
      <c r="F61" s="5">
        <v>571440</v>
      </c>
      <c r="G61" s="5">
        <v>811170</v>
      </c>
      <c r="H61" s="5">
        <f>E61-C61</f>
        <v>313602</v>
      </c>
      <c r="I61" s="9">
        <f t="shared" si="11"/>
        <v>249560</v>
      </c>
    </row>
    <row r="62" spans="1:9" ht="15.75" customHeight="1" thickBot="1" thickTop="1">
      <c r="A62" s="4" t="s">
        <v>25</v>
      </c>
      <c r="B62" s="5">
        <f>813581+802593+812503+811758</f>
        <v>3240435</v>
      </c>
      <c r="C62" s="5">
        <f>742460+779023+827900+812719</f>
        <v>3162102</v>
      </c>
      <c r="D62" s="5"/>
      <c r="E62" s="5">
        <f>870805+823707+1054510+898493</f>
        <v>3647515</v>
      </c>
      <c r="F62" s="5">
        <f>138240+138240+138240+138240</f>
        <v>552960</v>
      </c>
      <c r="G62" s="5">
        <f>168561+140194+360617+248443</f>
        <v>917815</v>
      </c>
      <c r="H62" s="5">
        <f>E62-C62</f>
        <v>485413</v>
      </c>
      <c r="I62" s="9">
        <f t="shared" si="11"/>
        <v>407080</v>
      </c>
    </row>
    <row r="63" spans="1:9" ht="15.75" customHeight="1" thickBot="1" thickTop="1">
      <c r="A63" s="4" t="s">
        <v>27</v>
      </c>
      <c r="B63" s="5">
        <v>3729444</v>
      </c>
      <c r="C63" s="5">
        <f>3597429</f>
        <v>3597429</v>
      </c>
      <c r="D63" s="5">
        <v>119913</v>
      </c>
      <c r="E63" s="5">
        <v>3809810</v>
      </c>
      <c r="F63" s="5">
        <v>791124</v>
      </c>
      <c r="G63" s="5">
        <v>809436</v>
      </c>
      <c r="H63" s="5">
        <f>E63-C63-D63</f>
        <v>92468</v>
      </c>
      <c r="I63" s="9">
        <f t="shared" si="11"/>
        <v>80366</v>
      </c>
    </row>
    <row r="64" spans="1:9" ht="15.75" customHeight="1" thickBot="1" thickTop="1">
      <c r="A64" s="7" t="s">
        <v>6</v>
      </c>
      <c r="B64" s="5">
        <f aca="true" t="shared" si="12" ref="B64:G64">SUM(B59:B63)</f>
        <v>15508869</v>
      </c>
      <c r="C64" s="5">
        <f t="shared" si="12"/>
        <v>15086630</v>
      </c>
      <c r="D64" s="5">
        <f t="shared" si="12"/>
        <v>119913</v>
      </c>
      <c r="E64" s="5">
        <f t="shared" si="12"/>
        <v>16665704</v>
      </c>
      <c r="F64" s="5">
        <f t="shared" si="12"/>
        <v>2854664</v>
      </c>
      <c r="G64" s="5">
        <f t="shared" si="12"/>
        <v>3968664</v>
      </c>
      <c r="H64" s="5">
        <f>E64-C64-D64</f>
        <v>1459161</v>
      </c>
      <c r="I64" s="9">
        <f t="shared" si="11"/>
        <v>1156835</v>
      </c>
    </row>
    <row r="65" spans="1:8" ht="15.75" customHeight="1" thickBot="1" thickTop="1">
      <c r="A65" s="1"/>
      <c r="B65" s="87" t="s">
        <v>18</v>
      </c>
      <c r="C65" s="88"/>
      <c r="D65" s="88"/>
      <c r="E65" s="88"/>
      <c r="F65" s="88"/>
      <c r="G65" s="88"/>
      <c r="H65" s="2"/>
    </row>
    <row r="66" spans="1:9" ht="15.75" customHeight="1" thickBot="1" thickTop="1">
      <c r="A66" s="84"/>
      <c r="B66" s="84" t="s">
        <v>0</v>
      </c>
      <c r="C66" s="84" t="s">
        <v>1</v>
      </c>
      <c r="D66" s="85" t="s">
        <v>30</v>
      </c>
      <c r="E66" s="84" t="s">
        <v>2</v>
      </c>
      <c r="F66" s="84" t="s">
        <v>3</v>
      </c>
      <c r="G66" s="84"/>
      <c r="H66" s="84" t="s">
        <v>10</v>
      </c>
      <c r="I66" s="84" t="s">
        <v>24</v>
      </c>
    </row>
    <row r="67" spans="1:9" ht="15.75" customHeight="1" thickBot="1" thickTop="1">
      <c r="A67" s="84"/>
      <c r="B67" s="84"/>
      <c r="C67" s="84"/>
      <c r="D67" s="86"/>
      <c r="E67" s="84"/>
      <c r="F67" s="3" t="s">
        <v>4</v>
      </c>
      <c r="G67" s="3" t="s">
        <v>5</v>
      </c>
      <c r="H67" s="84"/>
      <c r="I67" s="84"/>
    </row>
    <row r="68" spans="1:9" ht="15.75" customHeight="1" thickBot="1" thickTop="1">
      <c r="A68" s="4" t="s">
        <v>9</v>
      </c>
      <c r="B68" s="5">
        <f>360462+37185</f>
        <v>397647</v>
      </c>
      <c r="C68" s="5">
        <v>391918</v>
      </c>
      <c r="D68" s="5"/>
      <c r="E68" s="5">
        <v>405632</v>
      </c>
      <c r="F68" s="5">
        <v>97800</v>
      </c>
      <c r="G68" s="5">
        <v>103495</v>
      </c>
      <c r="H68" s="5">
        <f>E68-C68</f>
        <v>13714</v>
      </c>
      <c r="I68" s="9">
        <f aca="true" t="shared" si="13" ref="I68:I73">E68-B68</f>
        <v>7985</v>
      </c>
    </row>
    <row r="69" spans="1:9" ht="15.75" customHeight="1" thickBot="1" thickTop="1">
      <c r="A69" s="4" t="s">
        <v>8</v>
      </c>
      <c r="B69" s="5">
        <f>402394+46011</f>
        <v>448405</v>
      </c>
      <c r="C69" s="5">
        <v>437635</v>
      </c>
      <c r="D69" s="5"/>
      <c r="E69" s="5">
        <v>502455</v>
      </c>
      <c r="F69" s="5">
        <v>71620</v>
      </c>
      <c r="G69" s="5">
        <v>158814</v>
      </c>
      <c r="H69" s="5">
        <f>E69-C69</f>
        <v>64820</v>
      </c>
      <c r="I69" s="9">
        <f t="shared" si="13"/>
        <v>54050</v>
      </c>
    </row>
    <row r="70" spans="1:9" ht="15.75" customHeight="1" thickBot="1" thickTop="1">
      <c r="A70" s="6" t="s">
        <v>7</v>
      </c>
      <c r="B70" s="5">
        <v>517259</v>
      </c>
      <c r="C70" s="5">
        <v>503092</v>
      </c>
      <c r="D70" s="5"/>
      <c r="E70" s="5">
        <v>636151</v>
      </c>
      <c r="F70" s="5">
        <v>96720</v>
      </c>
      <c r="G70" s="5">
        <v>208781</v>
      </c>
      <c r="H70" s="5">
        <f>E70-C70</f>
        <v>133059</v>
      </c>
      <c r="I70" s="9">
        <f t="shared" si="13"/>
        <v>118892</v>
      </c>
    </row>
    <row r="71" spans="1:9" ht="15.75" customHeight="1" thickBot="1" thickTop="1">
      <c r="A71" s="4" t="s">
        <v>25</v>
      </c>
      <c r="B71" s="5">
        <f>129315+129315+129315+129315</f>
        <v>517260</v>
      </c>
      <c r="C71" s="5">
        <f>117679+129442+134307+139686</f>
        <v>521114</v>
      </c>
      <c r="D71" s="5"/>
      <c r="E71" s="5">
        <f>133913+166498+135877+177177</f>
        <v>613465</v>
      </c>
      <c r="F71" s="5">
        <f>27000+27000+27000+27000</f>
        <v>108000</v>
      </c>
      <c r="G71" s="5">
        <f>29957+56967+41933+79079</f>
        <v>207936</v>
      </c>
      <c r="H71" s="5">
        <f>E71-C71</f>
        <v>92351</v>
      </c>
      <c r="I71" s="9">
        <f t="shared" si="13"/>
        <v>96205</v>
      </c>
    </row>
    <row r="72" spans="1:9" ht="15.75" customHeight="1" thickBot="1" thickTop="1">
      <c r="A72" s="4" t="s">
        <v>27</v>
      </c>
      <c r="B72" s="5">
        <v>594480</v>
      </c>
      <c r="C72" s="5">
        <f>580353</f>
        <v>580353</v>
      </c>
      <c r="D72" s="5">
        <v>23733</v>
      </c>
      <c r="E72" s="5">
        <v>553519</v>
      </c>
      <c r="F72" s="5">
        <v>152100</v>
      </c>
      <c r="G72" s="5">
        <v>133282</v>
      </c>
      <c r="H72" s="5">
        <f>E72-C72-D72</f>
        <v>-50567</v>
      </c>
      <c r="I72" s="9">
        <f t="shared" si="13"/>
        <v>-40961</v>
      </c>
    </row>
    <row r="73" spans="1:9" ht="15.75" customHeight="1" thickBot="1" thickTop="1">
      <c r="A73" s="7" t="s">
        <v>6</v>
      </c>
      <c r="B73" s="5">
        <f aca="true" t="shared" si="14" ref="B73:G73">SUM(B68:B72)</f>
        <v>2475051</v>
      </c>
      <c r="C73" s="5">
        <f t="shared" si="14"/>
        <v>2434112</v>
      </c>
      <c r="D73" s="5">
        <f t="shared" si="14"/>
        <v>23733</v>
      </c>
      <c r="E73" s="5">
        <f t="shared" si="14"/>
        <v>2711222</v>
      </c>
      <c r="F73" s="5">
        <f t="shared" si="14"/>
        <v>526240</v>
      </c>
      <c r="G73" s="5">
        <f t="shared" si="14"/>
        <v>812308</v>
      </c>
      <c r="H73" s="8">
        <f>E73-C73-D73</f>
        <v>253377</v>
      </c>
      <c r="I73" s="9">
        <f t="shared" si="13"/>
        <v>236171</v>
      </c>
    </row>
    <row r="74" spans="1:9" ht="15.75" customHeight="1" thickTop="1">
      <c r="A74" s="1"/>
      <c r="B74" s="2"/>
      <c r="C74" s="2"/>
      <c r="D74" s="2"/>
      <c r="E74" s="2"/>
      <c r="F74" s="2"/>
      <c r="G74" s="2"/>
      <c r="H74" s="10"/>
      <c r="I74" s="12"/>
    </row>
    <row r="75" spans="1:8" ht="15.75" customHeight="1" thickBot="1">
      <c r="A75" s="1"/>
      <c r="B75" s="87" t="s">
        <v>19</v>
      </c>
      <c r="C75" s="88"/>
      <c r="D75" s="88"/>
      <c r="E75" s="88"/>
      <c r="F75" s="88"/>
      <c r="G75" s="88"/>
      <c r="H75" s="2"/>
    </row>
    <row r="76" spans="1:9" ht="15.75" customHeight="1" thickBot="1" thickTop="1">
      <c r="A76" s="84"/>
      <c r="B76" s="84" t="s">
        <v>0</v>
      </c>
      <c r="C76" s="84" t="s">
        <v>1</v>
      </c>
      <c r="D76" s="85" t="s">
        <v>30</v>
      </c>
      <c r="E76" s="84" t="s">
        <v>2</v>
      </c>
      <c r="F76" s="84" t="s">
        <v>3</v>
      </c>
      <c r="G76" s="84"/>
      <c r="H76" s="84" t="s">
        <v>10</v>
      </c>
      <c r="I76" s="84" t="s">
        <v>24</v>
      </c>
    </row>
    <row r="77" spans="1:9" ht="15.75" customHeight="1" thickBot="1" thickTop="1">
      <c r="A77" s="84"/>
      <c r="B77" s="84"/>
      <c r="C77" s="84"/>
      <c r="D77" s="86"/>
      <c r="E77" s="84"/>
      <c r="F77" s="3" t="s">
        <v>4</v>
      </c>
      <c r="G77" s="3" t="s">
        <v>5</v>
      </c>
      <c r="H77" s="84"/>
      <c r="I77" s="84"/>
    </row>
    <row r="78" spans="1:9" ht="15.75" customHeight="1" thickBot="1" thickTop="1">
      <c r="A78" s="4" t="s">
        <v>8</v>
      </c>
      <c r="B78" s="5">
        <f>2112349+276151</f>
        <v>2388500</v>
      </c>
      <c r="C78" s="5">
        <v>2422439</v>
      </c>
      <c r="D78" s="5"/>
      <c r="E78" s="5">
        <v>2588308</v>
      </c>
      <c r="F78" s="5">
        <v>381820</v>
      </c>
      <c r="G78" s="5">
        <v>565179</v>
      </c>
      <c r="H78" s="5">
        <f>E78-C78</f>
        <v>165869</v>
      </c>
      <c r="I78" s="9">
        <f>E78-B78</f>
        <v>199808</v>
      </c>
    </row>
    <row r="79" spans="1:9" ht="15.75" customHeight="1" thickBot="1" thickTop="1">
      <c r="A79" s="6" t="s">
        <v>7</v>
      </c>
      <c r="B79" s="5">
        <v>2767563</v>
      </c>
      <c r="C79" s="5">
        <v>2651013</v>
      </c>
      <c r="D79" s="5"/>
      <c r="E79" s="5">
        <v>2798542</v>
      </c>
      <c r="F79" s="5">
        <v>441600</v>
      </c>
      <c r="G79" s="5">
        <v>478173</v>
      </c>
      <c r="H79" s="5">
        <f>E79-C79</f>
        <v>147529</v>
      </c>
      <c r="I79" s="9">
        <f>E79-B79</f>
        <v>30979</v>
      </c>
    </row>
    <row r="80" spans="1:9" ht="15.75" customHeight="1" thickBot="1" thickTop="1">
      <c r="A80" s="4" t="s">
        <v>25</v>
      </c>
      <c r="B80" s="5">
        <f>691880+691812+691126+691507</f>
        <v>2766325</v>
      </c>
      <c r="C80" s="5">
        <f>604290+677243+687923+737429</f>
        <v>2706885</v>
      </c>
      <c r="D80" s="5"/>
      <c r="E80" s="5">
        <f>667405+691774+775175+750430</f>
        <v>2884784</v>
      </c>
      <c r="F80" s="5">
        <f>113562+113562+113562+113562</f>
        <v>454248</v>
      </c>
      <c r="G80" s="5">
        <f>95465+91580+164735+135974</f>
        <v>487754</v>
      </c>
      <c r="H80" s="5">
        <f>E80-C80</f>
        <v>177899</v>
      </c>
      <c r="I80" s="9">
        <f>E80-B80</f>
        <v>118459</v>
      </c>
    </row>
    <row r="81" spans="1:9" ht="15.75" customHeight="1" thickBot="1" thickTop="1">
      <c r="A81" s="4" t="s">
        <v>27</v>
      </c>
      <c r="B81" s="5">
        <v>3180296</v>
      </c>
      <c r="C81" s="5">
        <f>3097795</f>
        <v>3097795</v>
      </c>
      <c r="D81" s="5">
        <v>101162</v>
      </c>
      <c r="E81" s="5">
        <v>3077852</v>
      </c>
      <c r="F81" s="5">
        <v>685200</v>
      </c>
      <c r="G81" s="5">
        <v>503418</v>
      </c>
      <c r="H81" s="5">
        <f>E81-C81-D81</f>
        <v>-121105</v>
      </c>
      <c r="I81" s="9">
        <f>E81-B81</f>
        <v>-102444</v>
      </c>
    </row>
    <row r="82" spans="1:9" ht="15.75" customHeight="1" thickBot="1" thickTop="1">
      <c r="A82" s="7" t="s">
        <v>6</v>
      </c>
      <c r="B82" s="5">
        <f aca="true" t="shared" si="15" ref="B82:G82">SUM(B78:B81)</f>
        <v>11102684</v>
      </c>
      <c r="C82" s="5">
        <f t="shared" si="15"/>
        <v>10878132</v>
      </c>
      <c r="D82" s="5">
        <f t="shared" si="15"/>
        <v>101162</v>
      </c>
      <c r="E82" s="5">
        <f t="shared" si="15"/>
        <v>11349486</v>
      </c>
      <c r="F82" s="5">
        <f t="shared" si="15"/>
        <v>1962868</v>
      </c>
      <c r="G82" s="5">
        <f t="shared" si="15"/>
        <v>2034524</v>
      </c>
      <c r="H82" s="8">
        <f>E82-C82-D82</f>
        <v>370192</v>
      </c>
      <c r="I82" s="9">
        <f>E82-B82</f>
        <v>246802</v>
      </c>
    </row>
    <row r="83" spans="1:8" ht="15.75" customHeight="1" thickBot="1" thickTop="1">
      <c r="A83" s="1"/>
      <c r="B83" s="87" t="s">
        <v>20</v>
      </c>
      <c r="C83" s="88"/>
      <c r="D83" s="88"/>
      <c r="E83" s="88"/>
      <c r="F83" s="88"/>
      <c r="G83" s="88"/>
      <c r="H83" s="2"/>
    </row>
    <row r="84" spans="1:9" ht="15.75" customHeight="1" thickBot="1" thickTop="1">
      <c r="A84" s="84"/>
      <c r="B84" s="84" t="s">
        <v>0</v>
      </c>
      <c r="C84" s="84" t="s">
        <v>1</v>
      </c>
      <c r="D84" s="85" t="s">
        <v>30</v>
      </c>
      <c r="E84" s="84" t="s">
        <v>2</v>
      </c>
      <c r="F84" s="84" t="s">
        <v>3</v>
      </c>
      <c r="G84" s="84"/>
      <c r="H84" s="84" t="s">
        <v>10</v>
      </c>
      <c r="I84" s="84" t="s">
        <v>24</v>
      </c>
    </row>
    <row r="85" spans="1:9" ht="15.75" customHeight="1" thickBot="1" thickTop="1">
      <c r="A85" s="84"/>
      <c r="B85" s="84"/>
      <c r="C85" s="84"/>
      <c r="D85" s="86"/>
      <c r="E85" s="84"/>
      <c r="F85" s="3" t="s">
        <v>4</v>
      </c>
      <c r="G85" s="3" t="s">
        <v>5</v>
      </c>
      <c r="H85" s="84"/>
      <c r="I85" s="84"/>
    </row>
    <row r="86" spans="1:9" ht="15.75" customHeight="1" thickBot="1" thickTop="1">
      <c r="A86" s="4" t="s">
        <v>9</v>
      </c>
      <c r="B86" s="5">
        <f>367112+33942</f>
        <v>401054</v>
      </c>
      <c r="C86" s="5">
        <v>390386</v>
      </c>
      <c r="D86" s="5"/>
      <c r="E86" s="5">
        <v>420272</v>
      </c>
      <c r="F86" s="5">
        <v>93480</v>
      </c>
      <c r="G86" s="5">
        <v>115349</v>
      </c>
      <c r="H86" s="5">
        <f>E86-C86</f>
        <v>29886</v>
      </c>
      <c r="I86" s="9">
        <f aca="true" t="shared" si="16" ref="I86:I91">E86-B86</f>
        <v>19218</v>
      </c>
    </row>
    <row r="87" spans="1:9" ht="15.75" customHeight="1" thickBot="1" thickTop="1">
      <c r="A87" s="4" t="s">
        <v>8</v>
      </c>
      <c r="B87" s="5">
        <f>400267+39794</f>
        <v>440061</v>
      </c>
      <c r="C87" s="5">
        <v>449440</v>
      </c>
      <c r="D87" s="5"/>
      <c r="E87" s="5">
        <v>497784</v>
      </c>
      <c r="F87" s="5">
        <v>76870</v>
      </c>
      <c r="G87" s="5">
        <v>121906</v>
      </c>
      <c r="H87" s="5">
        <f>E87-C87</f>
        <v>48344</v>
      </c>
      <c r="I87" s="9">
        <f t="shared" si="16"/>
        <v>57723</v>
      </c>
    </row>
    <row r="88" spans="1:9" ht="15.75" customHeight="1" thickBot="1" thickTop="1">
      <c r="A88" s="6" t="s">
        <v>7</v>
      </c>
      <c r="B88" s="5">
        <v>524736</v>
      </c>
      <c r="C88" s="5">
        <v>483650</v>
      </c>
      <c r="D88" s="5"/>
      <c r="E88" s="5">
        <v>598635</v>
      </c>
      <c r="F88" s="5">
        <v>114600</v>
      </c>
      <c r="G88" s="5">
        <v>189070</v>
      </c>
      <c r="H88" s="5">
        <f>E88-C88</f>
        <v>114985</v>
      </c>
      <c r="I88" s="9">
        <f t="shared" si="16"/>
        <v>73899</v>
      </c>
    </row>
    <row r="89" spans="1:9" ht="15.75" customHeight="1" thickBot="1" thickTop="1">
      <c r="A89" s="4" t="s">
        <v>25</v>
      </c>
      <c r="B89" s="5">
        <f>131561+131561+131561+131561</f>
        <v>526244</v>
      </c>
      <c r="C89" s="5">
        <f>116783+127280+132293+133084</f>
        <v>509440</v>
      </c>
      <c r="D89" s="5"/>
      <c r="E89" s="5">
        <f>133699+156770+151801+144260</f>
        <v>586530</v>
      </c>
      <c r="F89" s="5">
        <f>29643+29643+29643+29643</f>
        <v>118572</v>
      </c>
      <c r="G89" s="5">
        <f>32015+50505+47925+38665</f>
        <v>169110</v>
      </c>
      <c r="H89" s="5">
        <f>E89-C89</f>
        <v>77090</v>
      </c>
      <c r="I89" s="9">
        <f t="shared" si="16"/>
        <v>60286</v>
      </c>
    </row>
    <row r="90" spans="1:9" ht="15.75" customHeight="1" thickBot="1" thickTop="1">
      <c r="A90" s="4" t="s">
        <v>27</v>
      </c>
      <c r="B90" s="5">
        <v>604808</v>
      </c>
      <c r="C90" s="5">
        <f>571589</f>
        <v>571589</v>
      </c>
      <c r="D90" s="5">
        <v>24144</v>
      </c>
      <c r="E90" s="5">
        <v>602663</v>
      </c>
      <c r="F90" s="5">
        <v>168972</v>
      </c>
      <c r="G90" s="5">
        <v>149958</v>
      </c>
      <c r="H90" s="5">
        <f>E90-C90-D90</f>
        <v>6930</v>
      </c>
      <c r="I90" s="9">
        <f t="shared" si="16"/>
        <v>-2145</v>
      </c>
    </row>
    <row r="91" spans="1:9" ht="15.75" customHeight="1" thickBot="1" thickTop="1">
      <c r="A91" s="7" t="s">
        <v>6</v>
      </c>
      <c r="B91" s="5">
        <f aca="true" t="shared" si="17" ref="B91:G91">SUM(B86:B90)</f>
        <v>2496903</v>
      </c>
      <c r="C91" s="5">
        <f t="shared" si="17"/>
        <v>2404505</v>
      </c>
      <c r="D91" s="5">
        <f t="shared" si="17"/>
        <v>24144</v>
      </c>
      <c r="E91" s="5">
        <f t="shared" si="17"/>
        <v>2705884</v>
      </c>
      <c r="F91" s="5">
        <f t="shared" si="17"/>
        <v>572494</v>
      </c>
      <c r="G91" s="5">
        <f t="shared" si="17"/>
        <v>745393</v>
      </c>
      <c r="H91" s="8">
        <f>E91-C91-D91</f>
        <v>277235</v>
      </c>
      <c r="I91" s="9">
        <f t="shared" si="16"/>
        <v>208981</v>
      </c>
    </row>
    <row r="92" spans="1:8" ht="15.75" customHeight="1" thickBot="1" thickTop="1">
      <c r="A92" s="1"/>
      <c r="B92" s="87" t="s">
        <v>21</v>
      </c>
      <c r="C92" s="88"/>
      <c r="D92" s="88"/>
      <c r="E92" s="88"/>
      <c r="F92" s="88"/>
      <c r="G92" s="88"/>
      <c r="H92" s="2"/>
    </row>
    <row r="93" spans="1:9" ht="15.75" customHeight="1" thickBot="1" thickTop="1">
      <c r="A93" s="84"/>
      <c r="B93" s="84" t="s">
        <v>0</v>
      </c>
      <c r="C93" s="84" t="s">
        <v>1</v>
      </c>
      <c r="D93" s="85" t="s">
        <v>30</v>
      </c>
      <c r="E93" s="84" t="s">
        <v>2</v>
      </c>
      <c r="F93" s="84" t="s">
        <v>3</v>
      </c>
      <c r="G93" s="84"/>
      <c r="H93" s="84" t="s">
        <v>10</v>
      </c>
      <c r="I93" s="84" t="s">
        <v>24</v>
      </c>
    </row>
    <row r="94" spans="1:9" ht="15.75" customHeight="1" thickBot="1" thickTop="1">
      <c r="A94" s="84"/>
      <c r="B94" s="84"/>
      <c r="C94" s="84"/>
      <c r="D94" s="86"/>
      <c r="E94" s="84"/>
      <c r="F94" s="3" t="s">
        <v>4</v>
      </c>
      <c r="G94" s="3" t="s">
        <v>5</v>
      </c>
      <c r="H94" s="84"/>
      <c r="I94" s="84"/>
    </row>
    <row r="95" spans="1:9" ht="15.75" customHeight="1" thickBot="1" thickTop="1">
      <c r="A95" s="4" t="s">
        <v>9</v>
      </c>
      <c r="B95" s="5">
        <f>1684954+210863</f>
        <v>1895817</v>
      </c>
      <c r="C95" s="5">
        <v>1843974</v>
      </c>
      <c r="D95" s="5"/>
      <c r="E95" s="5">
        <v>1858179</v>
      </c>
      <c r="F95" s="5">
        <v>456480</v>
      </c>
      <c r="G95" s="5">
        <v>415542</v>
      </c>
      <c r="H95" s="5">
        <f>E95-C95</f>
        <v>14205</v>
      </c>
      <c r="I95" s="9">
        <f aca="true" t="shared" si="18" ref="I95:I100">E95-B95</f>
        <v>-37638</v>
      </c>
    </row>
    <row r="96" spans="1:9" ht="15.75" customHeight="1" thickBot="1" thickTop="1">
      <c r="A96" s="4" t="s">
        <v>8</v>
      </c>
      <c r="B96" s="5">
        <f>1915549+244828</f>
        <v>2160377</v>
      </c>
      <c r="C96" s="5">
        <v>2128599</v>
      </c>
      <c r="D96" s="5"/>
      <c r="E96" s="5">
        <v>2171669</v>
      </c>
      <c r="F96" s="5">
        <v>528530</v>
      </c>
      <c r="G96" s="5">
        <v>530301</v>
      </c>
      <c r="H96" s="5">
        <f>E96-C96</f>
        <v>43070</v>
      </c>
      <c r="I96" s="9">
        <f t="shared" si="18"/>
        <v>11292</v>
      </c>
    </row>
    <row r="97" spans="1:9" ht="15.75" customHeight="1" thickBot="1" thickTop="1">
      <c r="A97" s="6" t="s">
        <v>7</v>
      </c>
      <c r="B97" s="5">
        <v>2494986</v>
      </c>
      <c r="C97" s="5">
        <v>2420988</v>
      </c>
      <c r="D97" s="5"/>
      <c r="E97" s="5">
        <v>2441899</v>
      </c>
      <c r="F97" s="5">
        <v>610560</v>
      </c>
      <c r="G97" s="5">
        <v>553282</v>
      </c>
      <c r="H97" s="5">
        <f>E97-C97</f>
        <v>20911</v>
      </c>
      <c r="I97" s="9">
        <f t="shared" si="18"/>
        <v>-53087</v>
      </c>
    </row>
    <row r="98" spans="1:9" ht="15.75" customHeight="1" thickBot="1" thickTop="1">
      <c r="A98" s="4" t="s">
        <v>26</v>
      </c>
      <c r="B98" s="5">
        <f>623633+624062+624062+624062</f>
        <v>2495819</v>
      </c>
      <c r="C98" s="5">
        <f>537753+579542+638931+694957</f>
        <v>2451183</v>
      </c>
      <c r="D98" s="5"/>
      <c r="E98" s="5">
        <f>567597+614258+610247+674698</f>
        <v>2466800</v>
      </c>
      <c r="F98" s="5">
        <f>147606+147606+147606+147606</f>
        <v>590424</v>
      </c>
      <c r="G98" s="5">
        <f>83351+126485+153774+201801</f>
        <v>565411</v>
      </c>
      <c r="H98" s="5">
        <f>E98-C98</f>
        <v>15617</v>
      </c>
      <c r="I98" s="9">
        <f t="shared" si="18"/>
        <v>-29019</v>
      </c>
    </row>
    <row r="99" spans="1:9" ht="15.75" customHeight="1" thickBot="1" thickTop="1">
      <c r="A99" s="4" t="s">
        <v>28</v>
      </c>
      <c r="B99" s="5">
        <v>2848522</v>
      </c>
      <c r="C99" s="5">
        <f>2819841</f>
        <v>2819841</v>
      </c>
      <c r="D99" s="5">
        <v>93323</v>
      </c>
      <c r="E99" s="5">
        <f>2590581</f>
        <v>2590581</v>
      </c>
      <c r="F99" s="5">
        <v>824208</v>
      </c>
      <c r="G99" s="5">
        <v>577507</v>
      </c>
      <c r="H99" s="5">
        <f>E99-C99-D99</f>
        <v>-322583</v>
      </c>
      <c r="I99" s="9">
        <f t="shared" si="18"/>
        <v>-257941</v>
      </c>
    </row>
    <row r="100" spans="1:9" ht="15.75" customHeight="1" thickBot="1" thickTop="1">
      <c r="A100" s="7" t="s">
        <v>6</v>
      </c>
      <c r="B100" s="5">
        <f aca="true" t="shared" si="19" ref="B100:G100">SUM(B95:B99)</f>
        <v>11895521</v>
      </c>
      <c r="C100" s="5">
        <f t="shared" si="19"/>
        <v>11664585</v>
      </c>
      <c r="D100" s="5">
        <f t="shared" si="19"/>
        <v>93323</v>
      </c>
      <c r="E100" s="5">
        <f t="shared" si="19"/>
        <v>11529128</v>
      </c>
      <c r="F100" s="5">
        <f t="shared" si="19"/>
        <v>3010202</v>
      </c>
      <c r="G100" s="5">
        <f t="shared" si="19"/>
        <v>2642043</v>
      </c>
      <c r="H100" s="8">
        <f>E100-C100-D100</f>
        <v>-228780</v>
      </c>
      <c r="I100" s="9">
        <f t="shared" si="18"/>
        <v>-366393</v>
      </c>
    </row>
    <row r="101" spans="1:8" ht="15.75" customHeight="1" thickBot="1" thickTop="1">
      <c r="A101" s="1"/>
      <c r="B101" s="87" t="s">
        <v>22</v>
      </c>
      <c r="C101" s="88"/>
      <c r="D101" s="88"/>
      <c r="E101" s="88"/>
      <c r="F101" s="88"/>
      <c r="G101" s="88"/>
      <c r="H101" s="2"/>
    </row>
    <row r="102" spans="1:9" ht="15.75" customHeight="1" thickBot="1" thickTop="1">
      <c r="A102" s="84"/>
      <c r="B102" s="84" t="s">
        <v>0</v>
      </c>
      <c r="C102" s="84" t="s">
        <v>1</v>
      </c>
      <c r="D102" s="85" t="s">
        <v>30</v>
      </c>
      <c r="E102" s="84" t="s">
        <v>2</v>
      </c>
      <c r="F102" s="84" t="s">
        <v>3</v>
      </c>
      <c r="G102" s="84"/>
      <c r="H102" s="84" t="s">
        <v>10</v>
      </c>
      <c r="I102" s="84" t="s">
        <v>24</v>
      </c>
    </row>
    <row r="103" spans="1:9" ht="15.75" customHeight="1" thickBot="1" thickTop="1">
      <c r="A103" s="84"/>
      <c r="B103" s="84"/>
      <c r="C103" s="84"/>
      <c r="D103" s="86"/>
      <c r="E103" s="84"/>
      <c r="F103" s="3" t="s">
        <v>4</v>
      </c>
      <c r="G103" s="3" t="s">
        <v>5</v>
      </c>
      <c r="H103" s="84"/>
      <c r="I103" s="84"/>
    </row>
    <row r="104" spans="1:9" ht="15.75" customHeight="1" thickBot="1" thickTop="1">
      <c r="A104" s="4" t="s">
        <v>9</v>
      </c>
      <c r="B104" s="5">
        <f>364866+36006</f>
        <v>400872</v>
      </c>
      <c r="C104" s="5">
        <v>392301</v>
      </c>
      <c r="D104" s="5"/>
      <c r="E104" s="5">
        <v>405736</v>
      </c>
      <c r="F104" s="5">
        <v>103440</v>
      </c>
      <c r="G104" s="5">
        <v>109397</v>
      </c>
      <c r="H104" s="5">
        <f>E104-C104</f>
        <v>13435</v>
      </c>
      <c r="I104" s="9">
        <f aca="true" t="shared" si="20" ref="I104:I109">E104-B104</f>
        <v>4864</v>
      </c>
    </row>
    <row r="105" spans="1:9" ht="15.75" customHeight="1" thickBot="1" thickTop="1">
      <c r="A105" s="4" t="s">
        <v>8</v>
      </c>
      <c r="B105" s="5">
        <f>410213+39774</f>
        <v>449987</v>
      </c>
      <c r="C105" s="5">
        <v>445671</v>
      </c>
      <c r="D105" s="5"/>
      <c r="E105" s="5">
        <v>497784</v>
      </c>
      <c r="F105" s="5">
        <v>79790</v>
      </c>
      <c r="G105" s="5">
        <v>121115</v>
      </c>
      <c r="H105" s="5">
        <f>E105-C105</f>
        <v>52113</v>
      </c>
      <c r="I105" s="9">
        <f t="shared" si="20"/>
        <v>47797</v>
      </c>
    </row>
    <row r="106" spans="1:9" ht="15.75" customHeight="1" thickBot="1" thickTop="1">
      <c r="A106" s="6" t="s">
        <v>7</v>
      </c>
      <c r="B106" s="5">
        <v>518800</v>
      </c>
      <c r="C106" s="5">
        <v>516091</v>
      </c>
      <c r="D106" s="5"/>
      <c r="E106" s="5">
        <v>572618</v>
      </c>
      <c r="F106" s="5">
        <v>115080</v>
      </c>
      <c r="G106" s="5">
        <v>168647</v>
      </c>
      <c r="H106" s="5">
        <f>E106-C106</f>
        <v>56527</v>
      </c>
      <c r="I106" s="9">
        <f t="shared" si="20"/>
        <v>53818</v>
      </c>
    </row>
    <row r="107" spans="1:9" ht="15.75" customHeight="1" thickBot="1" thickTop="1">
      <c r="A107" s="4" t="s">
        <v>26</v>
      </c>
      <c r="B107" s="5">
        <f>129700+129700+129700+129700</f>
        <v>518800</v>
      </c>
      <c r="C107" s="5">
        <f>121801+126686+134739+142790</f>
        <v>526016</v>
      </c>
      <c r="D107" s="5"/>
      <c r="E107" s="5">
        <f>137679+146867+193549+214213</f>
        <v>692308</v>
      </c>
      <c r="F107" s="5">
        <f>29373+29373+29373+29373</f>
        <v>117492</v>
      </c>
      <c r="G107" s="5">
        <f>34038+39995+87945+99316</f>
        <v>261294</v>
      </c>
      <c r="H107" s="5">
        <f>E107-C107</f>
        <v>166292</v>
      </c>
      <c r="I107" s="9">
        <f t="shared" si="20"/>
        <v>173508</v>
      </c>
    </row>
    <row r="108" spans="1:9" ht="15.75" customHeight="1" thickBot="1" thickTop="1">
      <c r="A108" s="4" t="s">
        <v>28</v>
      </c>
      <c r="B108" s="5">
        <f>596252</f>
        <v>596252</v>
      </c>
      <c r="C108" s="5">
        <f>583139</f>
        <v>583139</v>
      </c>
      <c r="D108" s="5">
        <v>23803</v>
      </c>
      <c r="E108" s="5">
        <v>577329</v>
      </c>
      <c r="F108" s="5">
        <v>168648</v>
      </c>
      <c r="G108" s="5">
        <v>130205</v>
      </c>
      <c r="H108" s="5">
        <f>E108-C108-D108</f>
        <v>-29613</v>
      </c>
      <c r="I108" s="9">
        <f t="shared" si="20"/>
        <v>-18923</v>
      </c>
    </row>
    <row r="109" spans="1:9" ht="15.75" customHeight="1" thickBot="1" thickTop="1">
      <c r="A109" s="7" t="s">
        <v>6</v>
      </c>
      <c r="B109" s="5">
        <f aca="true" t="shared" si="21" ref="B109:G109">SUM(B104:B108)</f>
        <v>2484711</v>
      </c>
      <c r="C109" s="5">
        <f t="shared" si="21"/>
        <v>2463218</v>
      </c>
      <c r="D109" s="5">
        <f t="shared" si="21"/>
        <v>23803</v>
      </c>
      <c r="E109" s="5">
        <f t="shared" si="21"/>
        <v>2745775</v>
      </c>
      <c r="F109" s="5">
        <f t="shared" si="21"/>
        <v>584450</v>
      </c>
      <c r="G109" s="5">
        <f t="shared" si="21"/>
        <v>790658</v>
      </c>
      <c r="H109" s="8">
        <f>E109-C109-D109</f>
        <v>258754</v>
      </c>
      <c r="I109" s="9">
        <f t="shared" si="20"/>
        <v>261064</v>
      </c>
    </row>
    <row r="110" spans="1:9" ht="15.75" customHeight="1" thickTop="1">
      <c r="A110" s="1"/>
      <c r="B110" s="2"/>
      <c r="C110" s="2"/>
      <c r="D110" s="2"/>
      <c r="E110" s="2"/>
      <c r="F110" s="2"/>
      <c r="G110" s="2"/>
      <c r="H110" s="10"/>
      <c r="I110" s="12"/>
    </row>
    <row r="111" spans="1:9" ht="15.75" customHeight="1">
      <c r="A111" s="1"/>
      <c r="B111" s="2"/>
      <c r="C111" s="2"/>
      <c r="D111" s="2"/>
      <c r="E111" s="2"/>
      <c r="F111" s="2"/>
      <c r="G111" s="2"/>
      <c r="H111" s="10"/>
      <c r="I111" s="12"/>
    </row>
    <row r="112" spans="1:8" ht="15.75" customHeight="1" thickBot="1">
      <c r="A112" s="1"/>
      <c r="B112" s="87" t="s">
        <v>23</v>
      </c>
      <c r="C112" s="88"/>
      <c r="D112" s="88"/>
      <c r="E112" s="88"/>
      <c r="F112" s="88"/>
      <c r="G112" s="88"/>
      <c r="H112" s="2"/>
    </row>
    <row r="113" spans="1:9" ht="15.75" customHeight="1" thickBot="1" thickTop="1">
      <c r="A113" s="84"/>
      <c r="B113" s="84" t="s">
        <v>0</v>
      </c>
      <c r="C113" s="84" t="s">
        <v>1</v>
      </c>
      <c r="D113" s="85" t="s">
        <v>30</v>
      </c>
      <c r="E113" s="84" t="s">
        <v>2</v>
      </c>
      <c r="F113" s="84" t="s">
        <v>3</v>
      </c>
      <c r="G113" s="84"/>
      <c r="H113" s="84" t="s">
        <v>10</v>
      </c>
      <c r="I113" s="84" t="s">
        <v>24</v>
      </c>
    </row>
    <row r="114" spans="1:9" ht="15.75" customHeight="1" thickBot="1" thickTop="1">
      <c r="A114" s="84"/>
      <c r="B114" s="84"/>
      <c r="C114" s="84"/>
      <c r="D114" s="86"/>
      <c r="E114" s="84"/>
      <c r="F114" s="3" t="s">
        <v>4</v>
      </c>
      <c r="G114" s="3" t="s">
        <v>5</v>
      </c>
      <c r="H114" s="84"/>
      <c r="I114" s="84"/>
    </row>
    <row r="115" spans="1:9" ht="15.75" customHeight="1" thickBot="1" thickTop="1">
      <c r="A115" s="4" t="s">
        <v>9</v>
      </c>
      <c r="B115" s="5">
        <f>1740307+203314</f>
        <v>1943621</v>
      </c>
      <c r="C115" s="5">
        <v>1913733</v>
      </c>
      <c r="D115" s="5">
        <v>0</v>
      </c>
      <c r="E115" s="5">
        <v>1961607</v>
      </c>
      <c r="F115" s="5">
        <v>468600</v>
      </c>
      <c r="G115" s="5">
        <v>462435</v>
      </c>
      <c r="H115" s="5">
        <f>E115-C115</f>
        <v>47874</v>
      </c>
      <c r="I115" s="9">
        <f aca="true" t="shared" si="22" ref="I115:I120">E115-B115</f>
        <v>17986</v>
      </c>
    </row>
    <row r="116" spans="1:9" ht="15.75" customHeight="1" thickBot="1" thickTop="1">
      <c r="A116" s="4" t="s">
        <v>8</v>
      </c>
      <c r="B116" s="5">
        <f>1987834+231319</f>
        <v>2219153</v>
      </c>
      <c r="C116" s="5">
        <v>2164364</v>
      </c>
      <c r="D116" s="5">
        <v>0</v>
      </c>
      <c r="E116" s="5">
        <v>2305315</v>
      </c>
      <c r="F116" s="5">
        <v>532070</v>
      </c>
      <c r="G116" s="5">
        <v>605745</v>
      </c>
      <c r="H116" s="5">
        <f>E116-C116</f>
        <v>140951</v>
      </c>
      <c r="I116" s="9">
        <f t="shared" si="22"/>
        <v>86162</v>
      </c>
    </row>
    <row r="117" spans="1:9" ht="15.75" customHeight="1" thickBot="1" thickTop="1">
      <c r="A117" s="6" t="s">
        <v>7</v>
      </c>
      <c r="B117" s="5">
        <v>2565003</v>
      </c>
      <c r="C117" s="5">
        <v>2539969</v>
      </c>
      <c r="D117" s="5">
        <v>0</v>
      </c>
      <c r="E117" s="5">
        <v>2398959</v>
      </c>
      <c r="F117" s="5">
        <v>631200</v>
      </c>
      <c r="G117" s="5">
        <v>456331</v>
      </c>
      <c r="H117" s="5">
        <f>E117-C117</f>
        <v>-141010</v>
      </c>
      <c r="I117" s="9">
        <f t="shared" si="22"/>
        <v>-166044</v>
      </c>
    </row>
    <row r="118" spans="1:9" ht="15.75" customHeight="1" thickBot="1" thickTop="1">
      <c r="A118" s="4" t="s">
        <v>25</v>
      </c>
      <c r="B118" s="5">
        <f>642547+642547+642547+641379</f>
        <v>2569020</v>
      </c>
      <c r="C118" s="5">
        <f>571240+618135+649226+670855</f>
        <v>2509456</v>
      </c>
      <c r="D118" s="5">
        <v>0</v>
      </c>
      <c r="E118" s="5">
        <f>609540+772931+631298+1079006</f>
        <v>3092775</v>
      </c>
      <c r="F118" s="5">
        <f>155373+155373+155373+155373</f>
        <v>621492</v>
      </c>
      <c r="G118" s="5">
        <f>126391+266244+135998+512102</f>
        <v>1040735</v>
      </c>
      <c r="H118" s="5">
        <f>E118-C118</f>
        <v>583319</v>
      </c>
      <c r="I118" s="9">
        <f t="shared" si="22"/>
        <v>523755</v>
      </c>
    </row>
    <row r="119" spans="1:9" ht="15.75" customHeight="1" thickBot="1" thickTop="1">
      <c r="A119" s="4" t="s">
        <v>27</v>
      </c>
      <c r="B119" s="5">
        <f>738676+738676+738676+738676</f>
        <v>2954704</v>
      </c>
      <c r="C119" s="5">
        <f>638476+745145+768922+738800</f>
        <v>2891343</v>
      </c>
      <c r="D119" s="5">
        <v>93986</v>
      </c>
      <c r="E119" s="5">
        <f>674003+632265+681403+695473</f>
        <v>2683144</v>
      </c>
      <c r="F119" s="5">
        <f>124182+124182+124182+124182</f>
        <v>496728</v>
      </c>
      <c r="G119" s="5">
        <f>97540+93017+168130+126823</f>
        <v>485510</v>
      </c>
      <c r="H119" s="5">
        <f>E119-C119-D119</f>
        <v>-302185</v>
      </c>
      <c r="I119" s="9">
        <f t="shared" si="22"/>
        <v>-271560</v>
      </c>
    </row>
    <row r="120" spans="1:9" ht="15.75" customHeight="1" thickBot="1" thickTop="1">
      <c r="A120" s="7" t="s">
        <v>6</v>
      </c>
      <c r="B120" s="5">
        <f aca="true" t="shared" si="23" ref="B120:G120">SUM(B115:B119)</f>
        <v>12251501</v>
      </c>
      <c r="C120" s="5">
        <f t="shared" si="23"/>
        <v>12018865</v>
      </c>
      <c r="D120" s="5">
        <f t="shared" si="23"/>
        <v>93986</v>
      </c>
      <c r="E120" s="5">
        <f t="shared" si="23"/>
        <v>12441800</v>
      </c>
      <c r="F120" s="5">
        <f t="shared" si="23"/>
        <v>2750090</v>
      </c>
      <c r="G120" s="5">
        <f t="shared" si="23"/>
        <v>3050756</v>
      </c>
      <c r="H120" s="8">
        <f>E120-C120-D120</f>
        <v>328949</v>
      </c>
      <c r="I120" s="9">
        <f t="shared" si="22"/>
        <v>190299</v>
      </c>
    </row>
    <row r="121" ht="15.75" customHeight="1" thickTop="1">
      <c r="B121" s="13"/>
    </row>
    <row r="123" ht="12.75">
      <c r="I123" s="11"/>
    </row>
  </sheetData>
  <mergeCells count="117">
    <mergeCell ref="D28:D29"/>
    <mergeCell ref="D93:D94"/>
    <mergeCell ref="D102:D103"/>
    <mergeCell ref="B38:G38"/>
    <mergeCell ref="F39:G39"/>
    <mergeCell ref="B56:G56"/>
    <mergeCell ref="F57:G57"/>
    <mergeCell ref="F93:G93"/>
    <mergeCell ref="B112:G112"/>
    <mergeCell ref="B92:G92"/>
    <mergeCell ref="D66:D67"/>
    <mergeCell ref="D76:D77"/>
    <mergeCell ref="D84:D85"/>
    <mergeCell ref="B75:G75"/>
    <mergeCell ref="F76:G76"/>
    <mergeCell ref="H2:H3"/>
    <mergeCell ref="I2:I3"/>
    <mergeCell ref="D39:D40"/>
    <mergeCell ref="D48:D49"/>
    <mergeCell ref="B9:G9"/>
    <mergeCell ref="F10:G10"/>
    <mergeCell ref="H10:H11"/>
    <mergeCell ref="I10:I11"/>
    <mergeCell ref="B18:G18"/>
    <mergeCell ref="F19:G19"/>
    <mergeCell ref="B1:G1"/>
    <mergeCell ref="A2:A3"/>
    <mergeCell ref="B2:B3"/>
    <mergeCell ref="C2:C3"/>
    <mergeCell ref="E2:E3"/>
    <mergeCell ref="F2:G2"/>
    <mergeCell ref="D2:D3"/>
    <mergeCell ref="A10:A11"/>
    <mergeCell ref="B10:B11"/>
    <mergeCell ref="C10:C11"/>
    <mergeCell ref="E10:E11"/>
    <mergeCell ref="D10:D11"/>
    <mergeCell ref="A19:A20"/>
    <mergeCell ref="B19:B20"/>
    <mergeCell ref="C19:C20"/>
    <mergeCell ref="E19:E20"/>
    <mergeCell ref="D19:D20"/>
    <mergeCell ref="H19:H20"/>
    <mergeCell ref="I19:I20"/>
    <mergeCell ref="B27:G27"/>
    <mergeCell ref="A28:A29"/>
    <mergeCell ref="B28:B29"/>
    <mergeCell ref="C28:C29"/>
    <mergeCell ref="E28:E29"/>
    <mergeCell ref="F28:G28"/>
    <mergeCell ref="H28:H29"/>
    <mergeCell ref="I28:I29"/>
    <mergeCell ref="A39:A40"/>
    <mergeCell ref="B39:B40"/>
    <mergeCell ref="C39:C40"/>
    <mergeCell ref="E39:E40"/>
    <mergeCell ref="H39:H40"/>
    <mergeCell ref="I39:I40"/>
    <mergeCell ref="B47:G47"/>
    <mergeCell ref="A48:A49"/>
    <mergeCell ref="B48:B49"/>
    <mergeCell ref="C48:C49"/>
    <mergeCell ref="E48:E49"/>
    <mergeCell ref="F48:G48"/>
    <mergeCell ref="H48:H49"/>
    <mergeCell ref="I48:I49"/>
    <mergeCell ref="A57:A58"/>
    <mergeCell ref="B57:B58"/>
    <mergeCell ref="C57:C58"/>
    <mergeCell ref="E57:E58"/>
    <mergeCell ref="D57:D58"/>
    <mergeCell ref="H57:H58"/>
    <mergeCell ref="I57:I58"/>
    <mergeCell ref="B65:G65"/>
    <mergeCell ref="A66:A67"/>
    <mergeCell ref="B66:B67"/>
    <mergeCell ref="C66:C67"/>
    <mergeCell ref="E66:E67"/>
    <mergeCell ref="F66:G66"/>
    <mergeCell ref="H66:H67"/>
    <mergeCell ref="I66:I67"/>
    <mergeCell ref="A76:A77"/>
    <mergeCell ref="B76:B77"/>
    <mergeCell ref="C76:C77"/>
    <mergeCell ref="E76:E77"/>
    <mergeCell ref="H76:H77"/>
    <mergeCell ref="I76:I77"/>
    <mergeCell ref="B83:G83"/>
    <mergeCell ref="A84:A85"/>
    <mergeCell ref="B84:B85"/>
    <mergeCell ref="C84:C85"/>
    <mergeCell ref="E84:E85"/>
    <mergeCell ref="F84:G84"/>
    <mergeCell ref="H84:H85"/>
    <mergeCell ref="I84:I85"/>
    <mergeCell ref="A93:A94"/>
    <mergeCell ref="B93:B94"/>
    <mergeCell ref="C93:C94"/>
    <mergeCell ref="E93:E94"/>
    <mergeCell ref="H93:H94"/>
    <mergeCell ref="I93:I94"/>
    <mergeCell ref="B101:G101"/>
    <mergeCell ref="A102:A103"/>
    <mergeCell ref="B102:B103"/>
    <mergeCell ref="C102:C103"/>
    <mergeCell ref="E102:E103"/>
    <mergeCell ref="F102:G102"/>
    <mergeCell ref="H102:H103"/>
    <mergeCell ref="I102:I103"/>
    <mergeCell ref="F113:G113"/>
    <mergeCell ref="H113:H114"/>
    <mergeCell ref="I113:I114"/>
    <mergeCell ref="A113:A114"/>
    <mergeCell ref="B113:B114"/>
    <mergeCell ref="C113:C114"/>
    <mergeCell ref="E113:E114"/>
    <mergeCell ref="D113:D114"/>
  </mergeCells>
  <printOptions/>
  <pageMargins left="0.7874015748031497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Z227"/>
  <sheetViews>
    <sheetView tabSelected="1" workbookViewId="0" topLeftCell="A109">
      <selection activeCell="G138" sqref="G138"/>
    </sheetView>
  </sheetViews>
  <sheetFormatPr defaultColWidth="9.140625" defaultRowHeight="12.75"/>
  <cols>
    <col min="1" max="1" width="7.7109375" style="0" customWidth="1"/>
    <col min="2" max="2" width="15.28125" style="0" customWidth="1"/>
    <col min="3" max="3" width="14.28125" style="0" customWidth="1"/>
    <col min="4" max="4" width="14.00390625" style="0" customWidth="1"/>
    <col min="5" max="5" width="14.140625" style="0" customWidth="1"/>
    <col min="6" max="7" width="14.00390625" style="0" customWidth="1"/>
    <col min="8" max="8" width="13.421875" style="0" customWidth="1"/>
    <col min="9" max="9" width="14.57421875" style="0" customWidth="1"/>
    <col min="10" max="10" width="12.421875" style="0" customWidth="1"/>
    <col min="11" max="11" width="3.8515625" style="0" customWidth="1"/>
  </cols>
  <sheetData>
    <row r="1" spans="1:10" ht="18.75" customHeight="1">
      <c r="A1" s="1"/>
      <c r="B1" s="2"/>
      <c r="C1" s="2"/>
      <c r="D1" s="2"/>
      <c r="E1" s="2"/>
      <c r="F1" s="2"/>
      <c r="G1" s="2"/>
      <c r="H1" s="2"/>
      <c r="I1" s="2"/>
      <c r="J1" s="12"/>
    </row>
    <row r="2" spans="3:9" s="14" customFormat="1" ht="18.75" customHeight="1" thickBot="1">
      <c r="C2" s="15"/>
      <c r="D2" s="92" t="s">
        <v>35</v>
      </c>
      <c r="E2" s="92"/>
      <c r="F2" s="92"/>
      <c r="G2" s="92"/>
      <c r="H2" s="15"/>
      <c r="I2" s="15"/>
    </row>
    <row r="3" spans="1:9" s="14" customFormat="1" ht="18.75" customHeight="1" thickBot="1" thickTop="1">
      <c r="A3" s="90" t="s">
        <v>36</v>
      </c>
      <c r="B3" s="90"/>
      <c r="C3" s="90" t="s">
        <v>0</v>
      </c>
      <c r="D3" s="90" t="s">
        <v>1</v>
      </c>
      <c r="E3" s="90" t="s">
        <v>2</v>
      </c>
      <c r="F3" s="90" t="s">
        <v>3</v>
      </c>
      <c r="G3" s="90"/>
      <c r="H3" s="90" t="s">
        <v>52</v>
      </c>
      <c r="I3" s="90" t="s">
        <v>24</v>
      </c>
    </row>
    <row r="4" spans="1:9" s="14" customFormat="1" ht="18.75" customHeight="1" thickBot="1" thickTop="1">
      <c r="A4" s="90"/>
      <c r="B4" s="90"/>
      <c r="C4" s="90"/>
      <c r="D4" s="90"/>
      <c r="E4" s="90"/>
      <c r="F4" s="52" t="s">
        <v>4</v>
      </c>
      <c r="G4" s="52" t="s">
        <v>5</v>
      </c>
      <c r="H4" s="90"/>
      <c r="I4" s="90"/>
    </row>
    <row r="5" spans="1:9" s="14" customFormat="1" ht="15.75" customHeight="1" thickTop="1">
      <c r="A5" s="54" t="s">
        <v>37</v>
      </c>
      <c r="B5" s="57"/>
      <c r="C5" s="60">
        <v>987362.13</v>
      </c>
      <c r="D5" s="60">
        <v>1015785.05</v>
      </c>
      <c r="E5" s="60">
        <v>965662.48</v>
      </c>
      <c r="F5" s="60">
        <v>358200</v>
      </c>
      <c r="G5" s="60">
        <v>312630.06</v>
      </c>
      <c r="H5" s="60">
        <f aca="true" t="shared" si="0" ref="H5:H12">E5-D5</f>
        <v>-50122.570000000065</v>
      </c>
      <c r="I5" s="60">
        <f aca="true" t="shared" si="1" ref="I5:I12">E5-C5</f>
        <v>-21699.650000000023</v>
      </c>
    </row>
    <row r="6" spans="1:9" s="14" customFormat="1" ht="15.75" customHeight="1">
      <c r="A6" s="55" t="s">
        <v>38</v>
      </c>
      <c r="B6" s="58"/>
      <c r="C6" s="61">
        <v>3056926.71</v>
      </c>
      <c r="D6" s="61">
        <v>2959631.68</v>
      </c>
      <c r="E6" s="61">
        <v>2922916.4</v>
      </c>
      <c r="F6" s="61">
        <v>667620</v>
      </c>
      <c r="G6" s="61">
        <v>598660.89</v>
      </c>
      <c r="H6" s="61">
        <f t="shared" si="0"/>
        <v>-36715.28000000026</v>
      </c>
      <c r="I6" s="61">
        <f t="shared" si="1"/>
        <v>-134010.31000000006</v>
      </c>
    </row>
    <row r="7" spans="1:9" s="14" customFormat="1" ht="15.75" customHeight="1">
      <c r="A7" s="55" t="s">
        <v>39</v>
      </c>
      <c r="B7" s="58"/>
      <c r="C7" s="61">
        <v>3486342.91</v>
      </c>
      <c r="D7" s="61">
        <v>3444843.2</v>
      </c>
      <c r="E7" s="61">
        <v>3416897.42</v>
      </c>
      <c r="F7" s="61">
        <v>758840</v>
      </c>
      <c r="G7" s="61">
        <v>731352.18</v>
      </c>
      <c r="H7" s="61">
        <f t="shared" si="0"/>
        <v>-27945.78000000026</v>
      </c>
      <c r="I7" s="61">
        <f t="shared" si="1"/>
        <v>-69445.49000000022</v>
      </c>
    </row>
    <row r="8" spans="1:9" s="14" customFormat="1" ht="15.75" customHeight="1">
      <c r="A8" s="55" t="s">
        <v>40</v>
      </c>
      <c r="B8" s="58"/>
      <c r="C8" s="61">
        <v>3920816.93</v>
      </c>
      <c r="D8" s="61">
        <v>3864536.9</v>
      </c>
      <c r="E8" s="61">
        <v>3322814.75</v>
      </c>
      <c r="F8" s="61">
        <v>854160</v>
      </c>
      <c r="G8" s="61">
        <v>484484.52</v>
      </c>
      <c r="H8" s="61">
        <f t="shared" si="0"/>
        <v>-541722.1499999999</v>
      </c>
      <c r="I8" s="61">
        <f t="shared" si="1"/>
        <v>-598002.1800000002</v>
      </c>
    </row>
    <row r="9" spans="1:9" s="14" customFormat="1" ht="15.75" customHeight="1">
      <c r="A9" s="55" t="s">
        <v>41</v>
      </c>
      <c r="B9" s="58"/>
      <c r="C9" s="61">
        <v>4010541.58</v>
      </c>
      <c r="D9" s="61">
        <v>3918290</v>
      </c>
      <c r="E9" s="61">
        <v>4378501.46</v>
      </c>
      <c r="F9" s="61">
        <v>847800</v>
      </c>
      <c r="G9" s="61">
        <v>1195601.06</v>
      </c>
      <c r="H9" s="61">
        <f t="shared" si="0"/>
        <v>460211.45999999996</v>
      </c>
      <c r="I9" s="61">
        <f t="shared" si="1"/>
        <v>367959.8799999999</v>
      </c>
    </row>
    <row r="10" spans="1:9" s="14" customFormat="1" ht="15.75" customHeight="1">
      <c r="A10" s="55" t="s">
        <v>42</v>
      </c>
      <c r="B10" s="58"/>
      <c r="C10" s="61">
        <v>4624803.51</v>
      </c>
      <c r="D10" s="61">
        <v>4555908.13</v>
      </c>
      <c r="E10" s="61">
        <v>4443950.52</v>
      </c>
      <c r="F10" s="61">
        <v>947280</v>
      </c>
      <c r="G10" s="61">
        <v>933862.74</v>
      </c>
      <c r="H10" s="61">
        <f t="shared" si="0"/>
        <v>-111957.61000000034</v>
      </c>
      <c r="I10" s="61">
        <f t="shared" si="1"/>
        <v>-180852.99000000022</v>
      </c>
    </row>
    <row r="11" spans="1:9" s="14" customFormat="1" ht="15.75" customHeight="1" thickBot="1">
      <c r="A11" s="56" t="s">
        <v>43</v>
      </c>
      <c r="B11" s="59"/>
      <c r="C11" s="62">
        <f>2689758.36+386047.32+431083.79+1295132.85</f>
        <v>4802022.32</v>
      </c>
      <c r="D11" s="62">
        <f>2615929.24+378603.65+388012.3+1357379.16</f>
        <v>4739924.35</v>
      </c>
      <c r="E11" s="62">
        <f>2717796.62+430014.9+358732.2+1589753.93</f>
        <v>5096297.65</v>
      </c>
      <c r="F11" s="62">
        <f>552580+78940+51670+155010</f>
        <v>838200</v>
      </c>
      <c r="G11" s="62">
        <f>698121.62+105124.21+21434.48+439417.31</f>
        <v>1264097.6199999999</v>
      </c>
      <c r="H11" s="62">
        <f t="shared" si="0"/>
        <v>356373.30000000075</v>
      </c>
      <c r="I11" s="62">
        <f t="shared" si="1"/>
        <v>294275.3300000001</v>
      </c>
    </row>
    <row r="12" spans="1:9" s="14" customFormat="1" ht="15.75" customHeight="1" thickBot="1" thickTop="1">
      <c r="A12" s="91" t="s">
        <v>6</v>
      </c>
      <c r="B12" s="91"/>
      <c r="C12" s="53">
        <f>SUM(C5:C11)</f>
        <v>24888816.09</v>
      </c>
      <c r="D12" s="53">
        <f>SUM(D5:D11)</f>
        <v>24498919.310000002</v>
      </c>
      <c r="E12" s="53">
        <f>SUM(E5:E11)</f>
        <v>24547040.68</v>
      </c>
      <c r="F12" s="53">
        <f>SUM(F5:F11)</f>
        <v>5272100</v>
      </c>
      <c r="G12" s="53">
        <f>SUM(G5:G11)</f>
        <v>5520689.07</v>
      </c>
      <c r="H12" s="53">
        <f t="shared" si="0"/>
        <v>48121.36999999732</v>
      </c>
      <c r="I12" s="53">
        <f t="shared" si="1"/>
        <v>-341775.41000000015</v>
      </c>
    </row>
    <row r="13" spans="1:9" s="14" customFormat="1" ht="18.75" customHeight="1" thickTop="1">
      <c r="A13" s="51"/>
      <c r="B13" s="51"/>
      <c r="C13" s="17"/>
      <c r="D13" s="17"/>
      <c r="E13" s="17"/>
      <c r="F13" s="17"/>
      <c r="G13" s="17"/>
      <c r="H13" s="17"/>
      <c r="I13" s="17"/>
    </row>
    <row r="14" spans="3:9" s="14" customFormat="1" ht="18.75" customHeight="1" thickBot="1">
      <c r="C14" s="16"/>
      <c r="D14" s="92" t="s">
        <v>50</v>
      </c>
      <c r="E14" s="92"/>
      <c r="F14" s="92"/>
      <c r="G14" s="92"/>
      <c r="H14" s="35"/>
      <c r="I14" s="17"/>
    </row>
    <row r="15" spans="1:9" s="14" customFormat="1" ht="18.75" customHeight="1" thickBot="1" thickTop="1">
      <c r="A15" s="90" t="s">
        <v>36</v>
      </c>
      <c r="B15" s="90"/>
      <c r="C15" s="90" t="s">
        <v>0</v>
      </c>
      <c r="D15" s="90" t="s">
        <v>1</v>
      </c>
      <c r="E15" s="90" t="s">
        <v>2</v>
      </c>
      <c r="F15" s="90" t="s">
        <v>3</v>
      </c>
      <c r="G15" s="90"/>
      <c r="H15" s="90" t="s">
        <v>10</v>
      </c>
      <c r="I15" s="90" t="s">
        <v>24</v>
      </c>
    </row>
    <row r="16" spans="1:9" s="14" customFormat="1" ht="20.25" customHeight="1" thickBot="1" thickTop="1">
      <c r="A16" s="90"/>
      <c r="B16" s="90"/>
      <c r="C16" s="90"/>
      <c r="D16" s="90"/>
      <c r="E16" s="90"/>
      <c r="F16" s="52" t="s">
        <v>4</v>
      </c>
      <c r="G16" s="52" t="s">
        <v>5</v>
      </c>
      <c r="H16" s="90"/>
      <c r="I16" s="90"/>
    </row>
    <row r="17" spans="1:9" s="14" customFormat="1" ht="15.75" customHeight="1" thickTop="1">
      <c r="A17" s="63" t="s">
        <v>51</v>
      </c>
      <c r="B17" s="63"/>
      <c r="C17" s="60">
        <v>1907334.44</v>
      </c>
      <c r="D17" s="60">
        <v>1907010.24</v>
      </c>
      <c r="E17" s="60">
        <v>2028789.97</v>
      </c>
      <c r="F17" s="60">
        <v>291610</v>
      </c>
      <c r="G17" s="60">
        <v>465172.65</v>
      </c>
      <c r="H17" s="60">
        <f aca="true" t="shared" si="2" ref="H17:H22">E17-D17</f>
        <v>121779.72999999998</v>
      </c>
      <c r="I17" s="60">
        <f aca="true" t="shared" si="3" ref="I17:I22">E17-C17</f>
        <v>121455.53000000003</v>
      </c>
    </row>
    <row r="18" spans="1:9" s="14" customFormat="1" ht="15.75" customHeight="1">
      <c r="A18" s="64" t="s">
        <v>40</v>
      </c>
      <c r="B18" s="64"/>
      <c r="C18" s="61">
        <v>2383893.26</v>
      </c>
      <c r="D18" s="61">
        <v>2343541.31</v>
      </c>
      <c r="E18" s="61">
        <v>2241482.94</v>
      </c>
      <c r="F18" s="61">
        <v>358200</v>
      </c>
      <c r="G18" s="61">
        <v>337293.87</v>
      </c>
      <c r="H18" s="61">
        <f t="shared" si="2"/>
        <v>-102058.37000000011</v>
      </c>
      <c r="I18" s="61">
        <f t="shared" si="3"/>
        <v>-142410.31999999983</v>
      </c>
    </row>
    <row r="19" spans="1:9" s="14" customFormat="1" ht="15.75" customHeight="1">
      <c r="A19" s="64" t="s">
        <v>41</v>
      </c>
      <c r="B19" s="64"/>
      <c r="C19" s="61">
        <v>2382437.43</v>
      </c>
      <c r="D19" s="61">
        <v>2343615.61</v>
      </c>
      <c r="E19" s="61">
        <v>2315348.43</v>
      </c>
      <c r="F19" s="61">
        <v>438960</v>
      </c>
      <c r="G19" s="61">
        <v>426629.03</v>
      </c>
      <c r="H19" s="61">
        <f t="shared" si="2"/>
        <v>-28267.179999999702</v>
      </c>
      <c r="I19" s="61">
        <f t="shared" si="3"/>
        <v>-67089</v>
      </c>
    </row>
    <row r="20" spans="1:9" s="14" customFormat="1" ht="15.75" customHeight="1">
      <c r="A20" s="64" t="s">
        <v>42</v>
      </c>
      <c r="B20" s="64"/>
      <c r="C20" s="61">
        <v>2744455.92</v>
      </c>
      <c r="D20" s="61">
        <v>2720992.7</v>
      </c>
      <c r="E20" s="61">
        <v>2511732.05</v>
      </c>
      <c r="F20" s="61">
        <v>509160</v>
      </c>
      <c r="G20" s="61">
        <v>361121.18</v>
      </c>
      <c r="H20" s="61">
        <f t="shared" si="2"/>
        <v>-209260.65000000037</v>
      </c>
      <c r="I20" s="61">
        <f t="shared" si="3"/>
        <v>-232723.8700000001</v>
      </c>
    </row>
    <row r="21" spans="1:9" s="14" customFormat="1" ht="15.75" customHeight="1" thickBot="1">
      <c r="A21" s="65" t="s">
        <v>43</v>
      </c>
      <c r="B21" s="65"/>
      <c r="C21" s="62">
        <f>1601684.56+228812.08+255811.71+767435.13</f>
        <v>2853743.48</v>
      </c>
      <c r="D21" s="62">
        <f>1557647.36+239875.39+244623.47+773860.26</f>
        <v>2816006.48</v>
      </c>
      <c r="E21" s="62">
        <f>1621391.06+287645.02+213120.21+836742.86</f>
        <v>2958899.15</v>
      </c>
      <c r="F21" s="62">
        <f>297010+42430+32740+98220</f>
        <v>470400</v>
      </c>
      <c r="G21" s="62">
        <f>352282.42+93757.59+11615.27+191220.48</f>
        <v>648875.76</v>
      </c>
      <c r="H21" s="62">
        <f t="shared" si="2"/>
        <v>142892.66999999993</v>
      </c>
      <c r="I21" s="62">
        <f t="shared" si="3"/>
        <v>105155.66999999993</v>
      </c>
    </row>
    <row r="22" spans="1:9" s="14" customFormat="1" ht="15.75" customHeight="1" thickBot="1" thickTop="1">
      <c r="A22" s="93" t="s">
        <v>6</v>
      </c>
      <c r="B22" s="93"/>
      <c r="C22" s="53">
        <f>SUM(C17:C21)</f>
        <v>12271864.53</v>
      </c>
      <c r="D22" s="53">
        <f>SUM(D17:D21)</f>
        <v>12131166.34</v>
      </c>
      <c r="E22" s="53">
        <f>SUM(E17:E21)</f>
        <v>12056252.540000001</v>
      </c>
      <c r="F22" s="53">
        <f>SUM(F17:F21)</f>
        <v>2068330</v>
      </c>
      <c r="G22" s="53">
        <f>SUM(G17:G21)</f>
        <v>2239092.49</v>
      </c>
      <c r="H22" s="53">
        <f t="shared" si="2"/>
        <v>-74913.79999999888</v>
      </c>
      <c r="I22" s="53">
        <f t="shared" si="3"/>
        <v>-215611.98999999836</v>
      </c>
    </row>
    <row r="23" spans="1:8" s="14" customFormat="1" ht="15.75" customHeight="1" thickTop="1">
      <c r="A23" s="50"/>
      <c r="B23" s="17"/>
      <c r="C23" s="17"/>
      <c r="D23" s="17"/>
      <c r="E23" s="17"/>
      <c r="F23" s="17"/>
      <c r="G23" s="17"/>
      <c r="H23" s="17"/>
    </row>
    <row r="24" spans="1:8" s="14" customFormat="1" ht="15.75" customHeight="1">
      <c r="A24" s="50"/>
      <c r="B24" s="17"/>
      <c r="C24" s="17"/>
      <c r="D24" s="17"/>
      <c r="E24" s="17"/>
      <c r="F24" s="17"/>
      <c r="G24" s="17"/>
      <c r="H24" s="17"/>
    </row>
    <row r="25" spans="1:8" s="14" customFormat="1" ht="11.25" customHeight="1">
      <c r="A25" s="50"/>
      <c r="B25" s="17"/>
      <c r="C25" s="17"/>
      <c r="D25" s="17"/>
      <c r="E25" s="17"/>
      <c r="F25" s="17"/>
      <c r="G25" s="17"/>
      <c r="H25" s="17"/>
    </row>
    <row r="26" spans="1:8" s="14" customFormat="1" ht="18.75" customHeight="1">
      <c r="A26" s="50"/>
      <c r="B26" s="17"/>
      <c r="C26" s="17"/>
      <c r="D26" s="17"/>
      <c r="E26" s="17"/>
      <c r="F26" s="17"/>
      <c r="G26" s="17"/>
      <c r="H26" s="17"/>
    </row>
    <row r="27" spans="1:9" ht="18.75" customHeight="1" thickBot="1">
      <c r="A27" s="1"/>
      <c r="B27" s="87" t="s">
        <v>12</v>
      </c>
      <c r="C27" s="87"/>
      <c r="D27" s="88"/>
      <c r="E27" s="88"/>
      <c r="F27" s="88"/>
      <c r="G27" s="88"/>
      <c r="H27" s="88"/>
      <c r="I27" s="2"/>
    </row>
    <row r="28" spans="1:10" ht="18.75" customHeight="1" thickBot="1" thickTop="1">
      <c r="A28" s="84"/>
      <c r="B28" s="84" t="s">
        <v>0</v>
      </c>
      <c r="C28" s="85" t="s">
        <v>31</v>
      </c>
      <c r="D28" s="84" t="s">
        <v>1</v>
      </c>
      <c r="E28" s="85" t="s">
        <v>32</v>
      </c>
      <c r="F28" s="84" t="s">
        <v>2</v>
      </c>
      <c r="G28" s="84" t="s">
        <v>3</v>
      </c>
      <c r="H28" s="84"/>
      <c r="I28" s="84" t="s">
        <v>52</v>
      </c>
      <c r="J28" s="84" t="s">
        <v>53</v>
      </c>
    </row>
    <row r="29" spans="1:10" ht="18.75" customHeight="1" thickBot="1" thickTop="1">
      <c r="A29" s="84"/>
      <c r="B29" s="84"/>
      <c r="C29" s="86"/>
      <c r="D29" s="84"/>
      <c r="E29" s="86"/>
      <c r="F29" s="84"/>
      <c r="G29" s="3" t="s">
        <v>4</v>
      </c>
      <c r="H29" s="3" t="s">
        <v>5</v>
      </c>
      <c r="I29" s="84"/>
      <c r="J29" s="84"/>
    </row>
    <row r="30" spans="1:10" ht="35.25" customHeight="1" thickTop="1">
      <c r="A30" s="73" t="s">
        <v>34</v>
      </c>
      <c r="B30" s="66">
        <f>1282330+144704</f>
        <v>1427034</v>
      </c>
      <c r="C30" s="66">
        <v>0</v>
      </c>
      <c r="D30" s="66">
        <v>1508216</v>
      </c>
      <c r="E30" s="66">
        <v>0</v>
      </c>
      <c r="F30" s="66">
        <v>1331406</v>
      </c>
      <c r="G30" s="66"/>
      <c r="H30" s="66">
        <v>223082</v>
      </c>
      <c r="I30" s="66">
        <f aca="true" t="shared" si="4" ref="I30:I36">F30-D30-E30</f>
        <v>-176810</v>
      </c>
      <c r="J30" s="67">
        <f aca="true" t="shared" si="5" ref="J30:J36">F30-B30-C30</f>
        <v>-95628</v>
      </c>
    </row>
    <row r="31" spans="1:10" ht="15.75" customHeight="1">
      <c r="A31" s="74" t="s">
        <v>8</v>
      </c>
      <c r="B31" s="68">
        <f>2505038+285369</f>
        <v>2790407</v>
      </c>
      <c r="C31" s="68">
        <v>0</v>
      </c>
      <c r="D31" s="68">
        <v>2707799</v>
      </c>
      <c r="E31" s="68">
        <v>0</v>
      </c>
      <c r="F31" s="68">
        <v>2767885</v>
      </c>
      <c r="G31" s="68">
        <v>607290</v>
      </c>
      <c r="H31" s="68">
        <v>606723</v>
      </c>
      <c r="I31" s="68">
        <f t="shared" si="4"/>
        <v>60086</v>
      </c>
      <c r="J31" s="69">
        <f t="shared" si="5"/>
        <v>-22522</v>
      </c>
    </row>
    <row r="32" spans="1:10" ht="15.75" customHeight="1">
      <c r="A32" s="75" t="s">
        <v>7</v>
      </c>
      <c r="B32" s="68">
        <v>3214980</v>
      </c>
      <c r="C32" s="68">
        <v>0</v>
      </c>
      <c r="D32" s="68">
        <v>3105458</v>
      </c>
      <c r="E32" s="68">
        <v>0</v>
      </c>
      <c r="F32" s="68">
        <v>3101750</v>
      </c>
      <c r="G32" s="68">
        <v>774720</v>
      </c>
      <c r="H32" s="68">
        <v>630783</v>
      </c>
      <c r="I32" s="68">
        <f t="shared" si="4"/>
        <v>-3708</v>
      </c>
      <c r="J32" s="69">
        <f t="shared" si="5"/>
        <v>-113230</v>
      </c>
    </row>
    <row r="33" spans="1:10" ht="15.75" customHeight="1">
      <c r="A33" s="74" t="s">
        <v>26</v>
      </c>
      <c r="B33" s="68">
        <f>805363+809967+809836+809717</f>
        <v>3234883</v>
      </c>
      <c r="C33" s="68">
        <v>0</v>
      </c>
      <c r="D33" s="68">
        <f>705873+752771+783375+849114</f>
        <v>3091133</v>
      </c>
      <c r="E33" s="68">
        <v>0</v>
      </c>
      <c r="F33" s="68">
        <f>746759+761129+757675+739559</f>
        <v>3005122</v>
      </c>
      <c r="G33" s="68">
        <f>186675+186675+186675+186675</f>
        <v>746700</v>
      </c>
      <c r="H33" s="68">
        <f>93321+131228+191487+163239</f>
        <v>579275</v>
      </c>
      <c r="I33" s="68">
        <f t="shared" si="4"/>
        <v>-86011</v>
      </c>
      <c r="J33" s="69">
        <f t="shared" si="5"/>
        <v>-229761</v>
      </c>
    </row>
    <row r="34" spans="1:10" ht="15.75" customHeight="1">
      <c r="A34" s="74" t="s">
        <v>28</v>
      </c>
      <c r="B34" s="68">
        <v>3723844</v>
      </c>
      <c r="C34" s="68">
        <f>8980*12</f>
        <v>107760</v>
      </c>
      <c r="D34" s="68">
        <f>3568851</f>
        <v>3568851</v>
      </c>
      <c r="E34" s="68">
        <v>121124</v>
      </c>
      <c r="F34" s="68">
        <v>3338760</v>
      </c>
      <c r="G34" s="68">
        <v>1063524</v>
      </c>
      <c r="H34" s="68">
        <v>714776</v>
      </c>
      <c r="I34" s="68">
        <f t="shared" si="4"/>
        <v>-351215</v>
      </c>
      <c r="J34" s="69">
        <f t="shared" si="5"/>
        <v>-492844</v>
      </c>
    </row>
    <row r="35" spans="1:10" ht="15.75" customHeight="1" thickBot="1">
      <c r="A35" s="76" t="s">
        <v>33</v>
      </c>
      <c r="B35" s="70">
        <f>1857825+611450+342762.63+1033139.6</f>
        <v>3845177.23</v>
      </c>
      <c r="C35" s="70">
        <f>8980*8+6951.48*4</f>
        <v>99645.92</v>
      </c>
      <c r="D35" s="70">
        <f>1767571+598444+330667.79+1072050.09</f>
        <v>3768732.88</v>
      </c>
      <c r="E35" s="70">
        <f>26532+13729+2376.19+24107.93</f>
        <v>66745.12</v>
      </c>
      <c r="F35" s="71">
        <f>1684492+708916+393316.95+1046052.64</f>
        <v>3832777.5900000003</v>
      </c>
      <c r="G35" s="70">
        <f>531762+177254+98860+296580</f>
        <v>1104456</v>
      </c>
      <c r="H35" s="70">
        <f>319862+270010+179541.06+328582.74</f>
        <v>1097995.8</v>
      </c>
      <c r="I35" s="70">
        <f t="shared" si="4"/>
        <v>-2700.409999999567</v>
      </c>
      <c r="J35" s="72">
        <f t="shared" si="5"/>
        <v>-112045.55999999966</v>
      </c>
    </row>
    <row r="36" spans="1:10" ht="15.75" customHeight="1" thickBot="1" thickTop="1">
      <c r="A36" s="7" t="s">
        <v>6</v>
      </c>
      <c r="B36" s="5">
        <f aca="true" t="shared" si="6" ref="B36:H36">SUM(B30:B35)</f>
        <v>18236325.23</v>
      </c>
      <c r="C36" s="5">
        <f t="shared" si="6"/>
        <v>207405.91999999998</v>
      </c>
      <c r="D36" s="5">
        <f t="shared" si="6"/>
        <v>17750189.88</v>
      </c>
      <c r="E36" s="5">
        <f t="shared" si="6"/>
        <v>187869.12</v>
      </c>
      <c r="F36" s="5">
        <f t="shared" si="6"/>
        <v>17377700.59</v>
      </c>
      <c r="G36" s="5">
        <f t="shared" si="6"/>
        <v>4296690</v>
      </c>
      <c r="H36" s="5">
        <f t="shared" si="6"/>
        <v>3852634.8</v>
      </c>
      <c r="I36" s="5">
        <f t="shared" si="4"/>
        <v>-560358.4099999991</v>
      </c>
      <c r="J36" s="9">
        <f t="shared" si="5"/>
        <v>-1066030.5600000005</v>
      </c>
    </row>
    <row r="37" spans="1:10" ht="18.75" customHeight="1" thickTop="1">
      <c r="A37" s="1"/>
      <c r="B37" s="2"/>
      <c r="C37" s="2"/>
      <c r="D37" s="2"/>
      <c r="E37" s="2"/>
      <c r="F37" s="2"/>
      <c r="G37" s="2"/>
      <c r="H37" s="2"/>
      <c r="I37" s="2"/>
      <c r="J37" s="12"/>
    </row>
    <row r="38" spans="1:9" ht="18.75" customHeight="1" thickBot="1">
      <c r="A38" s="1"/>
      <c r="B38" s="87" t="s">
        <v>13</v>
      </c>
      <c r="C38" s="87"/>
      <c r="D38" s="88"/>
      <c r="E38" s="88"/>
      <c r="F38" s="88"/>
      <c r="G38" s="88"/>
      <c r="H38" s="88"/>
      <c r="I38" s="2"/>
    </row>
    <row r="39" spans="1:10" ht="18.75" customHeight="1" thickBot="1" thickTop="1">
      <c r="A39" s="84"/>
      <c r="B39" s="84" t="s">
        <v>0</v>
      </c>
      <c r="C39" s="85" t="s">
        <v>31</v>
      </c>
      <c r="D39" s="84" t="s">
        <v>1</v>
      </c>
      <c r="E39" s="85" t="s">
        <v>32</v>
      </c>
      <c r="F39" s="84" t="s">
        <v>2</v>
      </c>
      <c r="G39" s="84" t="s">
        <v>3</v>
      </c>
      <c r="H39" s="84"/>
      <c r="I39" s="84" t="s">
        <v>52</v>
      </c>
      <c r="J39" s="84" t="s">
        <v>53</v>
      </c>
    </row>
    <row r="40" spans="1:10" ht="18.75" customHeight="1" thickBot="1" thickTop="1">
      <c r="A40" s="84"/>
      <c r="B40" s="84"/>
      <c r="C40" s="86"/>
      <c r="D40" s="84"/>
      <c r="E40" s="86"/>
      <c r="F40" s="84"/>
      <c r="G40" s="3" t="s">
        <v>4</v>
      </c>
      <c r="H40" s="3" t="s">
        <v>5</v>
      </c>
      <c r="I40" s="84"/>
      <c r="J40" s="84"/>
    </row>
    <row r="41" spans="1:10" ht="15.75" customHeight="1" thickTop="1">
      <c r="A41" s="77" t="s">
        <v>9</v>
      </c>
      <c r="B41" s="66">
        <f>364763+40443</f>
        <v>405206</v>
      </c>
      <c r="C41" s="66">
        <v>0</v>
      </c>
      <c r="D41" s="66">
        <v>401997</v>
      </c>
      <c r="E41" s="66">
        <v>0</v>
      </c>
      <c r="F41" s="66">
        <v>436171</v>
      </c>
      <c r="G41" s="66">
        <v>112440</v>
      </c>
      <c r="H41" s="66">
        <v>141759</v>
      </c>
      <c r="I41" s="66">
        <f aca="true" t="shared" si="7" ref="I41:I47">F41-D41-E41</f>
        <v>34174</v>
      </c>
      <c r="J41" s="67">
        <f aca="true" t="shared" si="8" ref="J41:J47">F41-B41-C41</f>
        <v>30965</v>
      </c>
    </row>
    <row r="42" spans="1:10" ht="15.75" customHeight="1">
      <c r="A42" s="74" t="s">
        <v>8</v>
      </c>
      <c r="B42" s="68">
        <f>404946+49956</f>
        <v>454902</v>
      </c>
      <c r="C42" s="68">
        <v>0</v>
      </c>
      <c r="D42" s="68">
        <v>438815</v>
      </c>
      <c r="E42" s="68">
        <v>0</v>
      </c>
      <c r="F42" s="68">
        <v>518795</v>
      </c>
      <c r="G42" s="68">
        <v>89230</v>
      </c>
      <c r="H42" s="68">
        <v>163083</v>
      </c>
      <c r="I42" s="68">
        <f t="shared" si="7"/>
        <v>79980</v>
      </c>
      <c r="J42" s="69">
        <f t="shared" si="8"/>
        <v>63893</v>
      </c>
    </row>
    <row r="43" spans="1:10" ht="15.75" customHeight="1">
      <c r="A43" s="75" t="s">
        <v>7</v>
      </c>
      <c r="B43" s="68">
        <v>524463</v>
      </c>
      <c r="C43" s="68">
        <v>0</v>
      </c>
      <c r="D43" s="68">
        <v>518898</v>
      </c>
      <c r="E43" s="68">
        <v>0</v>
      </c>
      <c r="F43" s="68">
        <v>593045</v>
      </c>
      <c r="G43" s="68">
        <v>115800</v>
      </c>
      <c r="H43" s="68">
        <v>193845</v>
      </c>
      <c r="I43" s="68">
        <f t="shared" si="7"/>
        <v>74147</v>
      </c>
      <c r="J43" s="69">
        <f t="shared" si="8"/>
        <v>68582</v>
      </c>
    </row>
    <row r="44" spans="1:10" ht="15.75" customHeight="1">
      <c r="A44" s="74" t="s">
        <v>25</v>
      </c>
      <c r="B44" s="68">
        <f>131116+131116+131116+131116</f>
        <v>524464</v>
      </c>
      <c r="C44" s="68">
        <v>0</v>
      </c>
      <c r="D44" s="68">
        <f>129606+124346+132203+139667</f>
        <v>525822</v>
      </c>
      <c r="E44" s="68">
        <v>0</v>
      </c>
      <c r="F44" s="68">
        <f>118260+132349+156928+229663</f>
        <v>637200</v>
      </c>
      <c r="G44" s="68">
        <f>32637+32637+32637+32637</f>
        <v>130548</v>
      </c>
      <c r="H44" s="68">
        <f>19799+30924+55058+119238</f>
        <v>225019</v>
      </c>
      <c r="I44" s="68">
        <f t="shared" si="7"/>
        <v>111378</v>
      </c>
      <c r="J44" s="69">
        <f t="shared" si="8"/>
        <v>112736</v>
      </c>
    </row>
    <row r="45" spans="1:10" ht="15.75" customHeight="1">
      <c r="A45" s="74" t="s">
        <v>27</v>
      </c>
      <c r="B45" s="68">
        <v>602756</v>
      </c>
      <c r="C45" s="68">
        <f>1783*12</f>
        <v>21396</v>
      </c>
      <c r="D45" s="68">
        <f>592272</f>
        <v>592272</v>
      </c>
      <c r="E45" s="68">
        <v>24063</v>
      </c>
      <c r="F45" s="68">
        <v>603026</v>
      </c>
      <c r="G45" s="68">
        <v>185592</v>
      </c>
      <c r="H45" s="68">
        <v>167157</v>
      </c>
      <c r="I45" s="68">
        <f t="shared" si="7"/>
        <v>-13309</v>
      </c>
      <c r="J45" s="69">
        <f t="shared" si="8"/>
        <v>-21126</v>
      </c>
    </row>
    <row r="46" spans="1:10" ht="15.75" customHeight="1" thickBot="1">
      <c r="A46" s="76" t="s">
        <v>33</v>
      </c>
      <c r="B46" s="70">
        <f>301379+100460+56178.72+168536.16</f>
        <v>626553.88</v>
      </c>
      <c r="C46" s="70">
        <f>1783*8+1526.12*4</f>
        <v>20368.48</v>
      </c>
      <c r="D46" s="70">
        <f>298768+104117+45977.39+177094.24</f>
        <v>625956.63</v>
      </c>
      <c r="E46" s="70">
        <f>4889+2483+595.34+4198.68</f>
        <v>12166.02</v>
      </c>
      <c r="F46" s="71">
        <f>297034+121860+53871.17+149484.3</f>
        <v>622249.47</v>
      </c>
      <c r="G46" s="70">
        <f>92796+30932+18880+56640</f>
        <v>199248</v>
      </c>
      <c r="H46" s="70">
        <f>56185+42838+19367.94+36009.19</f>
        <v>154400.13</v>
      </c>
      <c r="I46" s="70">
        <f t="shared" si="7"/>
        <v>-15873.180000000033</v>
      </c>
      <c r="J46" s="72">
        <f t="shared" si="8"/>
        <v>-24672.890000000032</v>
      </c>
    </row>
    <row r="47" spans="1:10" ht="15.75" customHeight="1" thickBot="1" thickTop="1">
      <c r="A47" s="7" t="s">
        <v>6</v>
      </c>
      <c r="B47" s="5">
        <f aca="true" t="shared" si="9" ref="B47:H47">SUM(B41:B46)</f>
        <v>3138344.88</v>
      </c>
      <c r="C47" s="5">
        <f t="shared" si="9"/>
        <v>41764.479999999996</v>
      </c>
      <c r="D47" s="5">
        <f t="shared" si="9"/>
        <v>3103760.63</v>
      </c>
      <c r="E47" s="5">
        <f t="shared" si="9"/>
        <v>36229.020000000004</v>
      </c>
      <c r="F47" s="5">
        <f t="shared" si="9"/>
        <v>3410486.4699999997</v>
      </c>
      <c r="G47" s="5">
        <f t="shared" si="9"/>
        <v>832858</v>
      </c>
      <c r="H47" s="5">
        <f t="shared" si="9"/>
        <v>1045263.13</v>
      </c>
      <c r="I47" s="5">
        <f t="shared" si="7"/>
        <v>270496.81999999983</v>
      </c>
      <c r="J47" s="9">
        <f t="shared" si="8"/>
        <v>230377.10999999987</v>
      </c>
    </row>
    <row r="48" spans="1:10" ht="18.75" customHeight="1" thickTop="1">
      <c r="A48" s="1"/>
      <c r="B48" s="2"/>
      <c r="C48" s="2"/>
      <c r="D48" s="2"/>
      <c r="E48" s="2"/>
      <c r="F48" s="2"/>
      <c r="G48" s="2"/>
      <c r="H48" s="2"/>
      <c r="I48" s="2"/>
      <c r="J48" s="12"/>
    </row>
    <row r="49" spans="1:9" ht="18.75" customHeight="1" thickBot="1">
      <c r="A49" s="1"/>
      <c r="B49" s="87" t="s">
        <v>14</v>
      </c>
      <c r="C49" s="87"/>
      <c r="D49" s="88"/>
      <c r="E49" s="88"/>
      <c r="F49" s="88"/>
      <c r="G49" s="88"/>
      <c r="H49" s="88"/>
      <c r="I49" s="2"/>
    </row>
    <row r="50" spans="1:10" ht="18.75" customHeight="1" thickBot="1" thickTop="1">
      <c r="A50" s="84"/>
      <c r="B50" s="84" t="s">
        <v>0</v>
      </c>
      <c r="C50" s="85" t="s">
        <v>31</v>
      </c>
      <c r="D50" s="84" t="s">
        <v>1</v>
      </c>
      <c r="E50" s="85" t="s">
        <v>32</v>
      </c>
      <c r="F50" s="84" t="s">
        <v>2</v>
      </c>
      <c r="G50" s="84" t="s">
        <v>3</v>
      </c>
      <c r="H50" s="84"/>
      <c r="I50" s="84" t="s">
        <v>52</v>
      </c>
      <c r="J50" s="84" t="s">
        <v>53</v>
      </c>
    </row>
    <row r="51" spans="1:10" ht="18.75" customHeight="1" thickBot="1" thickTop="1">
      <c r="A51" s="84"/>
      <c r="B51" s="84"/>
      <c r="C51" s="86"/>
      <c r="D51" s="84"/>
      <c r="E51" s="86"/>
      <c r="F51" s="84"/>
      <c r="G51" s="3" t="s">
        <v>4</v>
      </c>
      <c r="H51" s="3" t="s">
        <v>5</v>
      </c>
      <c r="I51" s="84"/>
      <c r="J51" s="84"/>
    </row>
    <row r="52" spans="1:10" ht="15.75" customHeight="1" thickTop="1">
      <c r="A52" s="77" t="s">
        <v>9</v>
      </c>
      <c r="B52" s="66">
        <f>353062+41954</f>
        <v>395016</v>
      </c>
      <c r="C52" s="66">
        <v>0</v>
      </c>
      <c r="D52" s="66">
        <v>411607</v>
      </c>
      <c r="E52" s="66">
        <v>0</v>
      </c>
      <c r="F52" s="66">
        <v>416288</v>
      </c>
      <c r="G52" s="66">
        <v>114240</v>
      </c>
      <c r="H52" s="66">
        <v>126753</v>
      </c>
      <c r="I52" s="66">
        <f aca="true" t="shared" si="10" ref="I52:I58">F52-D52-E52</f>
        <v>4681</v>
      </c>
      <c r="J52" s="67">
        <f aca="true" t="shared" si="11" ref="J52:J58">F52-B52-C52</f>
        <v>21272</v>
      </c>
    </row>
    <row r="53" spans="1:10" ht="15.75" customHeight="1">
      <c r="A53" s="74" t="s">
        <v>8</v>
      </c>
      <c r="B53" s="68">
        <f>398606+45340</f>
        <v>443946</v>
      </c>
      <c r="C53" s="68">
        <v>0</v>
      </c>
      <c r="D53" s="68">
        <v>441073</v>
      </c>
      <c r="E53" s="68">
        <v>0</v>
      </c>
      <c r="F53" s="68">
        <v>567389</v>
      </c>
      <c r="G53" s="68">
        <v>85200</v>
      </c>
      <c r="H53" s="68">
        <v>212744</v>
      </c>
      <c r="I53" s="68">
        <f t="shared" si="10"/>
        <v>126316</v>
      </c>
      <c r="J53" s="69">
        <f t="shared" si="11"/>
        <v>123443</v>
      </c>
    </row>
    <row r="54" spans="1:10" ht="15.75" customHeight="1">
      <c r="A54" s="75" t="s">
        <v>7</v>
      </c>
      <c r="B54" s="68">
        <v>514854</v>
      </c>
      <c r="C54" s="68">
        <v>0</v>
      </c>
      <c r="D54" s="68">
        <v>495937</v>
      </c>
      <c r="E54" s="68">
        <v>0</v>
      </c>
      <c r="F54" s="68">
        <v>588865</v>
      </c>
      <c r="G54" s="68">
        <v>116520</v>
      </c>
      <c r="H54" s="68">
        <v>209248</v>
      </c>
      <c r="I54" s="68">
        <f t="shared" si="10"/>
        <v>92928</v>
      </c>
      <c r="J54" s="69">
        <f t="shared" si="11"/>
        <v>74011</v>
      </c>
    </row>
    <row r="55" spans="1:10" ht="15.75" customHeight="1">
      <c r="A55" s="74" t="s">
        <v>25</v>
      </c>
      <c r="B55" s="68">
        <f>128714+128714+128714+128714</f>
        <v>514856</v>
      </c>
      <c r="C55" s="68">
        <v>0</v>
      </c>
      <c r="D55" s="68">
        <f>120053+112737+124320+144403</f>
        <v>501513</v>
      </c>
      <c r="E55" s="68">
        <v>0</v>
      </c>
      <c r="F55" s="68">
        <f>119588+139225+149346+211094</f>
        <v>619253</v>
      </c>
      <c r="G55" s="68">
        <f>30201+30201+30201+30201</f>
        <v>120804</v>
      </c>
      <c r="H55" s="68">
        <f>25144+46199+55377+103183</f>
        <v>229903</v>
      </c>
      <c r="I55" s="68">
        <f t="shared" si="10"/>
        <v>117740</v>
      </c>
      <c r="J55" s="69">
        <f t="shared" si="11"/>
        <v>104397</v>
      </c>
    </row>
    <row r="56" spans="1:10" ht="15.75" customHeight="1">
      <c r="A56" s="74" t="s">
        <v>27</v>
      </c>
      <c r="B56" s="68">
        <v>591716</v>
      </c>
      <c r="C56" s="68">
        <f>1751*12</f>
        <v>21012</v>
      </c>
      <c r="D56" s="68">
        <f>578061</f>
        <v>578061</v>
      </c>
      <c r="E56" s="68">
        <v>23622</v>
      </c>
      <c r="F56" s="68">
        <v>601552</v>
      </c>
      <c r="G56" s="68">
        <v>183288</v>
      </c>
      <c r="H56" s="68">
        <v>177124</v>
      </c>
      <c r="I56" s="68">
        <f t="shared" si="10"/>
        <v>-131</v>
      </c>
      <c r="J56" s="69">
        <f t="shared" si="11"/>
        <v>-11176</v>
      </c>
    </row>
    <row r="57" spans="1:10" ht="15.75" customHeight="1" thickBot="1">
      <c r="A57" s="76" t="s">
        <v>33</v>
      </c>
      <c r="B57" s="70">
        <f>295857+98619+55149.5+165448.5</f>
        <v>615074</v>
      </c>
      <c r="C57" s="70">
        <f>1751*8+2366.49*4</f>
        <v>23473.96</v>
      </c>
      <c r="D57" s="70">
        <f>281849+102578+45890.71+160893.43</f>
        <v>591211.14</v>
      </c>
      <c r="E57" s="70">
        <f>4832+2459+587.25+4146.7</f>
        <v>12024.95</v>
      </c>
      <c r="F57" s="71">
        <f>271608+106941+51630.83+142046.84</f>
        <v>572226.67</v>
      </c>
      <c r="G57" s="70">
        <f>91644+30548+19330+57990</f>
        <v>199512</v>
      </c>
      <c r="H57" s="70">
        <f>41026+31107+17528.98+33129.36</f>
        <v>122791.34</v>
      </c>
      <c r="I57" s="70">
        <f t="shared" si="10"/>
        <v>-31009.419999999973</v>
      </c>
      <c r="J57" s="72">
        <f t="shared" si="11"/>
        <v>-66321.28999999995</v>
      </c>
    </row>
    <row r="58" spans="1:10" ht="15.75" customHeight="1" thickBot="1" thickTop="1">
      <c r="A58" s="7" t="s">
        <v>6</v>
      </c>
      <c r="B58" s="5">
        <f aca="true" t="shared" si="12" ref="B58:H58">SUM(B52:B57)</f>
        <v>3075462</v>
      </c>
      <c r="C58" s="5">
        <f t="shared" si="12"/>
        <v>44485.96</v>
      </c>
      <c r="D58" s="5">
        <f t="shared" si="12"/>
        <v>3019402.14</v>
      </c>
      <c r="E58" s="5">
        <f t="shared" si="12"/>
        <v>35646.95</v>
      </c>
      <c r="F58" s="5">
        <f t="shared" si="12"/>
        <v>3365573.67</v>
      </c>
      <c r="G58" s="5">
        <f t="shared" si="12"/>
        <v>819564</v>
      </c>
      <c r="H58" s="5">
        <f t="shared" si="12"/>
        <v>1078563.34</v>
      </c>
      <c r="I58" s="5">
        <f t="shared" si="10"/>
        <v>310524.5799999998</v>
      </c>
      <c r="J58" s="9">
        <f t="shared" si="11"/>
        <v>245625.70999999993</v>
      </c>
    </row>
    <row r="59" spans="1:10" ht="18.75" customHeight="1" thickTop="1">
      <c r="A59" s="1"/>
      <c r="B59" s="2"/>
      <c r="C59" s="2"/>
      <c r="D59" s="2"/>
      <c r="E59" s="2"/>
      <c r="F59" s="2"/>
      <c r="G59" s="2"/>
      <c r="H59" s="2"/>
      <c r="I59" s="2"/>
      <c r="J59" s="12"/>
    </row>
    <row r="60" spans="1:9" ht="18.75" customHeight="1" thickBot="1">
      <c r="A60" s="1"/>
      <c r="B60" s="87" t="s">
        <v>15</v>
      </c>
      <c r="C60" s="87"/>
      <c r="D60" s="88"/>
      <c r="E60" s="88"/>
      <c r="F60" s="88"/>
      <c r="G60" s="88"/>
      <c r="H60" s="88"/>
      <c r="I60" s="2"/>
    </row>
    <row r="61" spans="1:10" ht="18.75" customHeight="1" thickBot="1" thickTop="1">
      <c r="A61" s="84"/>
      <c r="B61" s="84" t="s">
        <v>0</v>
      </c>
      <c r="C61" s="85" t="s">
        <v>31</v>
      </c>
      <c r="D61" s="84" t="s">
        <v>1</v>
      </c>
      <c r="E61" s="85" t="s">
        <v>32</v>
      </c>
      <c r="F61" s="84" t="s">
        <v>2</v>
      </c>
      <c r="G61" s="84" t="s">
        <v>3</v>
      </c>
      <c r="H61" s="84"/>
      <c r="I61" s="84" t="s">
        <v>52</v>
      </c>
      <c r="J61" s="84" t="s">
        <v>53</v>
      </c>
    </row>
    <row r="62" spans="1:10" ht="18.75" customHeight="1" thickBot="1" thickTop="1">
      <c r="A62" s="84"/>
      <c r="B62" s="84"/>
      <c r="C62" s="86"/>
      <c r="D62" s="84"/>
      <c r="E62" s="86"/>
      <c r="F62" s="84"/>
      <c r="G62" s="3" t="s">
        <v>4</v>
      </c>
      <c r="H62" s="3" t="s">
        <v>5</v>
      </c>
      <c r="I62" s="84"/>
      <c r="J62" s="84"/>
    </row>
    <row r="63" spans="1:10" ht="15.75" customHeight="1" thickTop="1">
      <c r="A63" s="77" t="s">
        <v>9</v>
      </c>
      <c r="B63" s="66">
        <f>354415+43452</f>
        <v>397867</v>
      </c>
      <c r="C63" s="66">
        <v>0</v>
      </c>
      <c r="D63" s="66">
        <v>392731</v>
      </c>
      <c r="E63" s="78">
        <v>0</v>
      </c>
      <c r="F63" s="66">
        <v>372369</v>
      </c>
      <c r="G63" s="66">
        <v>121080</v>
      </c>
      <c r="H63" s="66">
        <v>97864</v>
      </c>
      <c r="I63" s="66">
        <f aca="true" t="shared" si="13" ref="I63:I69">F63-D63-E63</f>
        <v>-20362</v>
      </c>
      <c r="J63" s="67">
        <f aca="true" t="shared" si="14" ref="J63:J69">F63-B63-C63</f>
        <v>-25498</v>
      </c>
    </row>
    <row r="64" spans="1:10" ht="15.75" customHeight="1">
      <c r="A64" s="74" t="s">
        <v>8</v>
      </c>
      <c r="B64" s="68">
        <f>398414+50547</f>
        <v>448961</v>
      </c>
      <c r="C64" s="68">
        <v>0</v>
      </c>
      <c r="D64" s="68">
        <v>446667</v>
      </c>
      <c r="E64" s="79">
        <v>0</v>
      </c>
      <c r="F64" s="68">
        <v>468942</v>
      </c>
      <c r="G64" s="68">
        <v>97980</v>
      </c>
      <c r="H64" s="68">
        <v>134950</v>
      </c>
      <c r="I64" s="68">
        <f t="shared" si="13"/>
        <v>22275</v>
      </c>
      <c r="J64" s="69">
        <f t="shared" si="14"/>
        <v>19981</v>
      </c>
    </row>
    <row r="65" spans="1:10" ht="15.75" customHeight="1">
      <c r="A65" s="75" t="s">
        <v>7</v>
      </c>
      <c r="B65" s="68">
        <v>517840</v>
      </c>
      <c r="C65" s="68">
        <v>0</v>
      </c>
      <c r="D65" s="68">
        <v>504621</v>
      </c>
      <c r="E65" s="79">
        <v>0</v>
      </c>
      <c r="F65" s="68">
        <v>610937</v>
      </c>
      <c r="G65" s="68">
        <v>138600</v>
      </c>
      <c r="H65" s="68">
        <v>231669</v>
      </c>
      <c r="I65" s="68">
        <f t="shared" si="13"/>
        <v>106316</v>
      </c>
      <c r="J65" s="69">
        <f t="shared" si="14"/>
        <v>93097</v>
      </c>
    </row>
    <row r="66" spans="1:10" ht="15.75" customHeight="1">
      <c r="A66" s="74" t="s">
        <v>25</v>
      </c>
      <c r="B66" s="68">
        <f>129460+129460+129460+129460</f>
        <v>517840</v>
      </c>
      <c r="C66" s="68">
        <v>0</v>
      </c>
      <c r="D66" s="68">
        <f>113558+136079+127680+132685</f>
        <v>510002</v>
      </c>
      <c r="E66" s="79">
        <v>0</v>
      </c>
      <c r="F66" s="68">
        <f>134127+168333+152864+147320</f>
        <v>602644</v>
      </c>
      <c r="G66" s="68">
        <f>36018+36018+36018+36018</f>
        <v>144072</v>
      </c>
      <c r="H66" s="68">
        <f>40406+63602+67112+60725</f>
        <v>231845</v>
      </c>
      <c r="I66" s="68">
        <f t="shared" si="13"/>
        <v>92642</v>
      </c>
      <c r="J66" s="69">
        <f t="shared" si="14"/>
        <v>84804</v>
      </c>
    </row>
    <row r="67" spans="1:10" ht="15.75" customHeight="1">
      <c r="A67" s="74" t="s">
        <v>27</v>
      </c>
      <c r="B67" s="68">
        <v>595161</v>
      </c>
      <c r="C67" s="68">
        <f>1761*12</f>
        <v>21132</v>
      </c>
      <c r="D67" s="68">
        <f>583496</f>
        <v>583496</v>
      </c>
      <c r="E67" s="79">
        <v>23759</v>
      </c>
      <c r="F67" s="68">
        <v>546475</v>
      </c>
      <c r="G67" s="68">
        <v>195996</v>
      </c>
      <c r="H67" s="68">
        <v>152387</v>
      </c>
      <c r="I67" s="68">
        <f t="shared" si="13"/>
        <v>-60780</v>
      </c>
      <c r="J67" s="69">
        <f t="shared" si="14"/>
        <v>-69818</v>
      </c>
    </row>
    <row r="68" spans="1:10" ht="15.75" customHeight="1" thickBot="1">
      <c r="A68" s="76" t="s">
        <v>33</v>
      </c>
      <c r="B68" s="70">
        <f>297582+77648+55462.17+166386.51</f>
        <v>597078.6799999999</v>
      </c>
      <c r="C68" s="70">
        <f>1761*8+1512.45*4</f>
        <v>20137.8</v>
      </c>
      <c r="D68" s="70">
        <f>287991+101233+36618.42+180649.27</f>
        <v>606491.69</v>
      </c>
      <c r="E68" s="80">
        <f>4850+2467+589.76+4162.84</f>
        <v>12069.6</v>
      </c>
      <c r="F68" s="70">
        <f>279514+114023+36869.5+144884.53</f>
        <v>575291.03</v>
      </c>
      <c r="G68" s="70">
        <f>97998+32666+18650+55950</f>
        <v>205264</v>
      </c>
      <c r="H68" s="70">
        <f>51503+37621+3266.88+27999.48</f>
        <v>120390.36</v>
      </c>
      <c r="I68" s="70">
        <f t="shared" si="13"/>
        <v>-43270.259999999915</v>
      </c>
      <c r="J68" s="72">
        <f t="shared" si="14"/>
        <v>-41925.44999999991</v>
      </c>
    </row>
    <row r="69" spans="1:10" ht="15.75" customHeight="1" thickBot="1" thickTop="1">
      <c r="A69" s="7" t="s">
        <v>6</v>
      </c>
      <c r="B69" s="5">
        <f aca="true" t="shared" si="15" ref="B69:H69">SUM(B63:B68)</f>
        <v>3074747.6799999997</v>
      </c>
      <c r="C69" s="5">
        <f t="shared" si="15"/>
        <v>41269.8</v>
      </c>
      <c r="D69" s="5">
        <f t="shared" si="15"/>
        <v>3044008.69</v>
      </c>
      <c r="E69" s="5">
        <f t="shared" si="15"/>
        <v>35828.6</v>
      </c>
      <c r="F69" s="5">
        <f t="shared" si="15"/>
        <v>3176658.0300000003</v>
      </c>
      <c r="G69" s="5">
        <f t="shared" si="15"/>
        <v>902992</v>
      </c>
      <c r="H69" s="5">
        <f t="shared" si="15"/>
        <v>969105.36</v>
      </c>
      <c r="I69" s="5">
        <f t="shared" si="13"/>
        <v>96820.74000000031</v>
      </c>
      <c r="J69" s="9">
        <f t="shared" si="14"/>
        <v>60640.550000000556</v>
      </c>
    </row>
    <row r="70" spans="1:10" ht="18" customHeight="1" thickTop="1">
      <c r="A70" s="1"/>
      <c r="B70" s="2"/>
      <c r="C70" s="2"/>
      <c r="D70" s="2"/>
      <c r="E70" s="2"/>
      <c r="F70" s="2"/>
      <c r="G70" s="2"/>
      <c r="H70" s="2"/>
      <c r="I70" s="2"/>
      <c r="J70" s="12"/>
    </row>
    <row r="71" spans="1:9" ht="18.75" customHeight="1" thickBot="1">
      <c r="A71" s="1"/>
      <c r="B71" s="87" t="s">
        <v>16</v>
      </c>
      <c r="C71" s="87"/>
      <c r="D71" s="88"/>
      <c r="E71" s="88"/>
      <c r="F71" s="88"/>
      <c r="G71" s="88"/>
      <c r="H71" s="88"/>
      <c r="I71" s="2"/>
    </row>
    <row r="72" spans="1:10" ht="18.75" customHeight="1" thickBot="1" thickTop="1">
      <c r="A72" s="84"/>
      <c r="B72" s="84" t="s">
        <v>0</v>
      </c>
      <c r="C72" s="85" t="s">
        <v>31</v>
      </c>
      <c r="D72" s="84" t="s">
        <v>1</v>
      </c>
      <c r="E72" s="85" t="s">
        <v>32</v>
      </c>
      <c r="F72" s="84" t="s">
        <v>2</v>
      </c>
      <c r="G72" s="84" t="s">
        <v>3</v>
      </c>
      <c r="H72" s="84"/>
      <c r="I72" s="84" t="s">
        <v>52</v>
      </c>
      <c r="J72" s="84" t="s">
        <v>53</v>
      </c>
    </row>
    <row r="73" spans="1:10" ht="18.75" customHeight="1" thickBot="1" thickTop="1">
      <c r="A73" s="84"/>
      <c r="B73" s="84"/>
      <c r="C73" s="86"/>
      <c r="D73" s="84"/>
      <c r="E73" s="86"/>
      <c r="F73" s="84"/>
      <c r="G73" s="3" t="s">
        <v>4</v>
      </c>
      <c r="H73" s="3" t="s">
        <v>5</v>
      </c>
      <c r="I73" s="84"/>
      <c r="J73" s="84"/>
    </row>
    <row r="74" spans="1:10" ht="15.75" customHeight="1" thickTop="1">
      <c r="A74" s="77" t="s">
        <v>9</v>
      </c>
      <c r="B74" s="66">
        <f>356671+42691</f>
        <v>399362</v>
      </c>
      <c r="C74" s="66">
        <v>0</v>
      </c>
      <c r="D74" s="66">
        <v>383865</v>
      </c>
      <c r="E74" s="66">
        <v>0</v>
      </c>
      <c r="F74" s="66">
        <v>399108</v>
      </c>
      <c r="G74" s="66">
        <v>119160</v>
      </c>
      <c r="H74" s="66">
        <v>119492</v>
      </c>
      <c r="I74" s="66">
        <f aca="true" t="shared" si="16" ref="I74:I80">F74-D74-E74</f>
        <v>15243</v>
      </c>
      <c r="J74" s="67">
        <f aca="true" t="shared" si="17" ref="J74:J80">F74-B74-C74</f>
        <v>-254</v>
      </c>
    </row>
    <row r="75" spans="1:10" ht="15.75" customHeight="1">
      <c r="A75" s="74" t="s">
        <v>8</v>
      </c>
      <c r="B75" s="68">
        <f>396990+51253</f>
        <v>448243</v>
      </c>
      <c r="C75" s="68">
        <v>0</v>
      </c>
      <c r="D75" s="68">
        <v>449134</v>
      </c>
      <c r="E75" s="68">
        <v>0</v>
      </c>
      <c r="F75" s="68">
        <v>459584</v>
      </c>
      <c r="G75" s="68">
        <v>98150</v>
      </c>
      <c r="H75" s="68">
        <v>130086</v>
      </c>
      <c r="I75" s="68">
        <f t="shared" si="16"/>
        <v>10450</v>
      </c>
      <c r="J75" s="69">
        <f t="shared" si="17"/>
        <v>11341</v>
      </c>
    </row>
    <row r="76" spans="1:10" ht="15.75" customHeight="1">
      <c r="A76" s="75" t="s">
        <v>7</v>
      </c>
      <c r="B76" s="68">
        <v>516790</v>
      </c>
      <c r="C76" s="68">
        <v>0</v>
      </c>
      <c r="D76" s="68">
        <v>500098</v>
      </c>
      <c r="E76" s="68">
        <v>0</v>
      </c>
      <c r="F76" s="68">
        <v>597215</v>
      </c>
      <c r="G76" s="68">
        <v>128520</v>
      </c>
      <c r="H76" s="68">
        <v>207758</v>
      </c>
      <c r="I76" s="68">
        <f t="shared" si="16"/>
        <v>97117</v>
      </c>
      <c r="J76" s="69">
        <f t="shared" si="17"/>
        <v>80425</v>
      </c>
    </row>
    <row r="77" spans="1:10" ht="15.75" customHeight="1">
      <c r="A77" s="74" t="s">
        <v>26</v>
      </c>
      <c r="B77" s="68">
        <f>129198+129198+129198+129198</f>
        <v>516792</v>
      </c>
      <c r="C77" s="68">
        <v>0</v>
      </c>
      <c r="D77" s="68">
        <f>111486+126552+134615+122956</f>
        <v>495609</v>
      </c>
      <c r="E77" s="68">
        <v>0</v>
      </c>
      <c r="F77" s="68">
        <f>118732+147826+183197+138626</f>
        <v>588381</v>
      </c>
      <c r="G77" s="68">
        <f>34848+34848+34848+34848</f>
        <v>139392</v>
      </c>
      <c r="H77" s="68">
        <f>23722+48141+82943+41835</f>
        <v>196641</v>
      </c>
      <c r="I77" s="68">
        <f t="shared" si="16"/>
        <v>92772</v>
      </c>
      <c r="J77" s="69">
        <f t="shared" si="17"/>
        <v>71589</v>
      </c>
    </row>
    <row r="78" spans="1:10" ht="15.75" customHeight="1">
      <c r="A78" s="74" t="s">
        <v>28</v>
      </c>
      <c r="B78" s="68">
        <v>593940</v>
      </c>
      <c r="C78" s="68">
        <f>1757*12</f>
        <v>21084</v>
      </c>
      <c r="D78" s="68">
        <f>583107</f>
        <v>583107</v>
      </c>
      <c r="E78" s="68">
        <v>23710</v>
      </c>
      <c r="F78" s="68">
        <v>578524</v>
      </c>
      <c r="G78" s="68">
        <v>180528</v>
      </c>
      <c r="H78" s="68">
        <v>147988</v>
      </c>
      <c r="I78" s="68">
        <f t="shared" si="16"/>
        <v>-28293</v>
      </c>
      <c r="J78" s="69">
        <f t="shared" si="17"/>
        <v>-36500</v>
      </c>
    </row>
    <row r="79" spans="1:10" ht="15.75" customHeight="1" thickBot="1">
      <c r="A79" s="76" t="s">
        <v>33</v>
      </c>
      <c r="B79" s="70">
        <f>286908+98990+55356.82+166070.46</f>
        <v>607325.28</v>
      </c>
      <c r="C79" s="70">
        <f>1757*8+1510.46*4</f>
        <v>20097.84</v>
      </c>
      <c r="D79" s="70">
        <f>267639+106819+52259.04+161328.58</f>
        <v>588045.62</v>
      </c>
      <c r="E79" s="70">
        <f>4844+2464+588.88+4157.17</f>
        <v>12054.05</v>
      </c>
      <c r="F79" s="70">
        <f>271743+107087+43811.71+192780.24</f>
        <v>615421.95</v>
      </c>
      <c r="G79" s="70">
        <f>90264+30088+18130+54390</f>
        <v>192872</v>
      </c>
      <c r="H79" s="70">
        <f>46214+29589+9251.18+81081.26</f>
        <v>166135.44</v>
      </c>
      <c r="I79" s="70">
        <f t="shared" si="16"/>
        <v>15322.279999999959</v>
      </c>
      <c r="J79" s="72">
        <f t="shared" si="17"/>
        <v>-12001.170000000075</v>
      </c>
    </row>
    <row r="80" spans="1:10" ht="15.75" customHeight="1" thickBot="1" thickTop="1">
      <c r="A80" s="7" t="s">
        <v>6</v>
      </c>
      <c r="B80" s="5">
        <f aca="true" t="shared" si="18" ref="B80:H80">SUM(B74:B79)</f>
        <v>3082452.2800000003</v>
      </c>
      <c r="C80" s="5">
        <f t="shared" si="18"/>
        <v>41181.84</v>
      </c>
      <c r="D80" s="5">
        <f t="shared" si="18"/>
        <v>2999858.62</v>
      </c>
      <c r="E80" s="5">
        <f t="shared" si="18"/>
        <v>35764.05</v>
      </c>
      <c r="F80" s="5">
        <f t="shared" si="18"/>
        <v>3238233.95</v>
      </c>
      <c r="G80" s="5">
        <f t="shared" si="18"/>
        <v>858622</v>
      </c>
      <c r="H80" s="5">
        <f t="shared" si="18"/>
        <v>968100.44</v>
      </c>
      <c r="I80" s="5">
        <f t="shared" si="16"/>
        <v>202611.2800000001</v>
      </c>
      <c r="J80" s="9">
        <f t="shared" si="17"/>
        <v>114599.82999999993</v>
      </c>
    </row>
    <row r="81" spans="1:10" ht="18.75" customHeight="1" thickTop="1">
      <c r="A81" s="1"/>
      <c r="B81" s="2"/>
      <c r="C81" s="2"/>
      <c r="D81" s="2"/>
      <c r="E81" s="2"/>
      <c r="F81" s="2"/>
      <c r="G81" s="2"/>
      <c r="H81" s="2"/>
      <c r="I81" s="2"/>
      <c r="J81" s="12"/>
    </row>
    <row r="82" spans="3:9" s="14" customFormat="1" ht="18.75" customHeight="1" thickBot="1">
      <c r="C82" s="16"/>
      <c r="D82" s="92" t="s">
        <v>44</v>
      </c>
      <c r="E82" s="92"/>
      <c r="F82" s="92"/>
      <c r="G82" s="92"/>
      <c r="H82" s="35"/>
      <c r="I82" s="17"/>
    </row>
    <row r="83" spans="1:9" s="14" customFormat="1" ht="18.75" customHeight="1" thickBot="1" thickTop="1">
      <c r="A83" s="90" t="s">
        <v>36</v>
      </c>
      <c r="B83" s="90"/>
      <c r="C83" s="90" t="s">
        <v>0</v>
      </c>
      <c r="D83" s="90" t="s">
        <v>1</v>
      </c>
      <c r="E83" s="90" t="s">
        <v>2</v>
      </c>
      <c r="F83" s="90" t="s">
        <v>3</v>
      </c>
      <c r="G83" s="90"/>
      <c r="H83" s="90" t="s">
        <v>52</v>
      </c>
      <c r="I83" s="90" t="s">
        <v>24</v>
      </c>
    </row>
    <row r="84" spans="1:9" s="14" customFormat="1" ht="18.75" customHeight="1" thickBot="1" thickTop="1">
      <c r="A84" s="90"/>
      <c r="B84" s="90"/>
      <c r="C84" s="90"/>
      <c r="D84" s="90"/>
      <c r="E84" s="90"/>
      <c r="F84" s="52" t="s">
        <v>4</v>
      </c>
      <c r="G84" s="52" t="s">
        <v>5</v>
      </c>
      <c r="H84" s="90"/>
      <c r="I84" s="90"/>
    </row>
    <row r="85" spans="1:9" s="14" customFormat="1" ht="15.75" customHeight="1" thickTop="1">
      <c r="A85" s="63" t="s">
        <v>37</v>
      </c>
      <c r="B85" s="63"/>
      <c r="C85" s="60">
        <v>573059.29</v>
      </c>
      <c r="D85" s="60">
        <v>577672.88</v>
      </c>
      <c r="E85" s="60">
        <v>668538.29</v>
      </c>
      <c r="F85" s="60">
        <v>214200</v>
      </c>
      <c r="G85" s="60">
        <v>291385</v>
      </c>
      <c r="H85" s="60">
        <f aca="true" t="shared" si="19" ref="H85:H92">E85-D85</f>
        <v>90865.41000000003</v>
      </c>
      <c r="I85" s="60">
        <f aca="true" t="shared" si="20" ref="I85:I92">E85-C85</f>
        <v>95479</v>
      </c>
    </row>
    <row r="86" spans="1:9" s="14" customFormat="1" ht="15.75" customHeight="1">
      <c r="A86" s="64" t="s">
        <v>38</v>
      </c>
      <c r="B86" s="64"/>
      <c r="C86" s="61">
        <v>1776929.55</v>
      </c>
      <c r="D86" s="61">
        <v>1695372.06</v>
      </c>
      <c r="E86" s="61">
        <v>1630479.85</v>
      </c>
      <c r="F86" s="61">
        <v>443200</v>
      </c>
      <c r="G86" s="61">
        <v>327710.69</v>
      </c>
      <c r="H86" s="61">
        <f t="shared" si="19"/>
        <v>-64892.20999999996</v>
      </c>
      <c r="I86" s="61">
        <f t="shared" si="20"/>
        <v>-146449.69999999995</v>
      </c>
    </row>
    <row r="87" spans="1:9" s="14" customFormat="1" ht="15.75" customHeight="1">
      <c r="A87" s="64" t="s">
        <v>39</v>
      </c>
      <c r="B87" s="64"/>
      <c r="C87" s="61">
        <v>2035351.81</v>
      </c>
      <c r="D87" s="61">
        <v>1992623.02</v>
      </c>
      <c r="E87" s="61">
        <v>1991717.8</v>
      </c>
      <c r="F87" s="61">
        <v>443840</v>
      </c>
      <c r="G87" s="61">
        <v>452929.66</v>
      </c>
      <c r="H87" s="61">
        <f t="shared" si="19"/>
        <v>-905.2199999999721</v>
      </c>
      <c r="I87" s="61">
        <f t="shared" si="20"/>
        <v>-43634.01000000001</v>
      </c>
    </row>
    <row r="88" spans="1:9" s="14" customFormat="1" ht="15.75" customHeight="1">
      <c r="A88" s="64" t="s">
        <v>40</v>
      </c>
      <c r="B88" s="64"/>
      <c r="C88" s="61">
        <v>2350175.71</v>
      </c>
      <c r="D88" s="61">
        <v>2328208.66</v>
      </c>
      <c r="E88" s="61">
        <v>2369813.53</v>
      </c>
      <c r="F88" s="61">
        <v>489360</v>
      </c>
      <c r="G88" s="61">
        <v>585411.31</v>
      </c>
      <c r="H88" s="61">
        <f t="shared" si="19"/>
        <v>41604.869999999646</v>
      </c>
      <c r="I88" s="61">
        <f t="shared" si="20"/>
        <v>19637.819999999832</v>
      </c>
    </row>
    <row r="89" spans="1:9" s="14" customFormat="1" ht="15.75" customHeight="1">
      <c r="A89" s="64" t="s">
        <v>41</v>
      </c>
      <c r="B89" s="64"/>
      <c r="C89" s="61">
        <v>2346620.36</v>
      </c>
      <c r="D89" s="61">
        <v>2364049.75</v>
      </c>
      <c r="E89" s="61">
        <v>2409602.06</v>
      </c>
      <c r="F89" s="61">
        <v>519360</v>
      </c>
      <c r="G89" s="61">
        <v>589553.13</v>
      </c>
      <c r="H89" s="61">
        <f t="shared" si="19"/>
        <v>45552.310000000056</v>
      </c>
      <c r="I89" s="61">
        <f t="shared" si="20"/>
        <v>62981.700000000186</v>
      </c>
    </row>
    <row r="90" spans="1:9" s="14" customFormat="1" ht="15.75" customHeight="1">
      <c r="A90" s="64" t="s">
        <v>42</v>
      </c>
      <c r="B90" s="64"/>
      <c r="C90" s="61">
        <v>2703076.13</v>
      </c>
      <c r="D90" s="61">
        <v>2621519.37</v>
      </c>
      <c r="E90" s="61">
        <v>2715802.2</v>
      </c>
      <c r="F90" s="61">
        <v>620160</v>
      </c>
      <c r="G90" s="61">
        <v>709813.41</v>
      </c>
      <c r="H90" s="61">
        <f t="shared" si="19"/>
        <v>94282.83000000007</v>
      </c>
      <c r="I90" s="61">
        <f t="shared" si="20"/>
        <v>12726.070000000298</v>
      </c>
    </row>
    <row r="91" spans="1:9" s="14" customFormat="1" ht="15.75" customHeight="1" thickBot="1">
      <c r="A91" s="65" t="s">
        <v>43</v>
      </c>
      <c r="B91" s="65"/>
      <c r="C91" s="62">
        <f>1576693.23+225241.89+251884.83+755654.49</f>
        <v>2809474.4400000004</v>
      </c>
      <c r="D91" s="62">
        <f>1566821.42+220672.41+212302.32+786588.28</f>
        <v>2786384.4299999997</v>
      </c>
      <c r="E91" s="62">
        <f>1479439.81+197440.89+209762.44+759209.18</f>
        <v>2645852.3200000003</v>
      </c>
      <c r="F91" s="62">
        <f>361760+51680+32340+97020</f>
        <v>542800</v>
      </c>
      <c r="G91" s="62">
        <f>300570.64+19348.33+20406.31+96477.82</f>
        <v>436803.10000000003</v>
      </c>
      <c r="H91" s="62">
        <f t="shared" si="19"/>
        <v>-140532.1099999994</v>
      </c>
      <c r="I91" s="62">
        <f t="shared" si="20"/>
        <v>-163622.1200000001</v>
      </c>
    </row>
    <row r="92" spans="1:9" s="14" customFormat="1" ht="15.75" customHeight="1" thickBot="1" thickTop="1">
      <c r="A92" s="91" t="s">
        <v>6</v>
      </c>
      <c r="B92" s="91"/>
      <c r="C92" s="53">
        <f>SUM(C85:C91)</f>
        <v>14594687.290000003</v>
      </c>
      <c r="D92" s="53">
        <f>SUM(D85:D91)</f>
        <v>14365830.170000002</v>
      </c>
      <c r="E92" s="53">
        <f>SUM(E85:E91)</f>
        <v>14431806.05</v>
      </c>
      <c r="F92" s="53">
        <f>SUM(F85:F91)</f>
        <v>3272920</v>
      </c>
      <c r="G92" s="53">
        <f>SUM(G85:G91)</f>
        <v>3393606.3000000003</v>
      </c>
      <c r="H92" s="53">
        <f t="shared" si="19"/>
        <v>65975.87999999896</v>
      </c>
      <c r="I92" s="53">
        <f t="shared" si="20"/>
        <v>-162881.2400000021</v>
      </c>
    </row>
    <row r="93" spans="1:9" s="14" customFormat="1" ht="18.75" customHeight="1" thickTop="1">
      <c r="A93" s="51"/>
      <c r="B93" s="51"/>
      <c r="C93" s="17"/>
      <c r="D93" s="17"/>
      <c r="E93" s="17"/>
      <c r="F93" s="17"/>
      <c r="G93" s="17"/>
      <c r="H93" s="17"/>
      <c r="I93" s="17"/>
    </row>
    <row r="94" spans="1:9" ht="18.75" customHeight="1" thickBot="1">
      <c r="A94" s="1"/>
      <c r="B94" s="87" t="s">
        <v>17</v>
      </c>
      <c r="C94" s="87"/>
      <c r="D94" s="88"/>
      <c r="E94" s="88"/>
      <c r="F94" s="88"/>
      <c r="G94" s="88"/>
      <c r="H94" s="88"/>
      <c r="I94" s="2"/>
    </row>
    <row r="95" spans="1:10" ht="18.75" customHeight="1" thickBot="1" thickTop="1">
      <c r="A95" s="84"/>
      <c r="B95" s="84" t="s">
        <v>0</v>
      </c>
      <c r="C95" s="85" t="s">
        <v>31</v>
      </c>
      <c r="D95" s="84" t="s">
        <v>1</v>
      </c>
      <c r="E95" s="85" t="s">
        <v>32</v>
      </c>
      <c r="F95" s="84" t="s">
        <v>2</v>
      </c>
      <c r="G95" s="84" t="s">
        <v>3</v>
      </c>
      <c r="H95" s="84"/>
      <c r="I95" s="84" t="s">
        <v>52</v>
      </c>
      <c r="J95" s="84" t="s">
        <v>53</v>
      </c>
    </row>
    <row r="96" spans="1:10" ht="18.75" customHeight="1" thickBot="1" thickTop="1">
      <c r="A96" s="84"/>
      <c r="B96" s="84"/>
      <c r="C96" s="86"/>
      <c r="D96" s="84"/>
      <c r="E96" s="86"/>
      <c r="F96" s="84"/>
      <c r="G96" s="3" t="s">
        <v>4</v>
      </c>
      <c r="H96" s="3" t="s">
        <v>5</v>
      </c>
      <c r="I96" s="84"/>
      <c r="J96" s="84"/>
    </row>
    <row r="97" spans="1:10" ht="15.75" customHeight="1" thickTop="1">
      <c r="A97" s="77" t="s">
        <v>9</v>
      </c>
      <c r="B97" s="66">
        <f>2200195+269921</f>
        <v>2470116</v>
      </c>
      <c r="C97" s="66">
        <v>0</v>
      </c>
      <c r="D97" s="66">
        <v>2402142</v>
      </c>
      <c r="E97" s="66">
        <v>0</v>
      </c>
      <c r="F97" s="66">
        <v>2610185</v>
      </c>
      <c r="G97" s="66">
        <v>427440</v>
      </c>
      <c r="H97" s="66">
        <v>570058</v>
      </c>
      <c r="I97" s="66">
        <f aca="true" t="shared" si="21" ref="I97:I103">F97-D97-E97</f>
        <v>208043</v>
      </c>
      <c r="J97" s="67">
        <f aca="true" t="shared" si="22" ref="J97:J103">F97-B97-C97</f>
        <v>140069</v>
      </c>
    </row>
    <row r="98" spans="1:10" ht="15.75" customHeight="1">
      <c r="A98" s="74" t="s">
        <v>8</v>
      </c>
      <c r="B98" s="68">
        <f>2494612+323963</f>
        <v>2818575</v>
      </c>
      <c r="C98" s="68">
        <v>0</v>
      </c>
      <c r="D98" s="68">
        <v>2738700</v>
      </c>
      <c r="E98" s="68">
        <v>0</v>
      </c>
      <c r="F98" s="68">
        <v>3098335</v>
      </c>
      <c r="G98" s="68">
        <v>511700</v>
      </c>
      <c r="H98" s="68">
        <v>860185</v>
      </c>
      <c r="I98" s="68">
        <f t="shared" si="21"/>
        <v>359635</v>
      </c>
      <c r="J98" s="69">
        <f t="shared" si="22"/>
        <v>279760</v>
      </c>
    </row>
    <row r="99" spans="1:10" ht="15.75" customHeight="1">
      <c r="A99" s="75" t="s">
        <v>7</v>
      </c>
      <c r="B99" s="68">
        <v>3250299</v>
      </c>
      <c r="C99" s="68">
        <v>0</v>
      </c>
      <c r="D99" s="68">
        <v>3186257</v>
      </c>
      <c r="E99" s="68">
        <v>0</v>
      </c>
      <c r="F99" s="68">
        <v>3499859</v>
      </c>
      <c r="G99" s="68">
        <v>571440</v>
      </c>
      <c r="H99" s="68">
        <v>811170</v>
      </c>
      <c r="I99" s="68">
        <f t="shared" si="21"/>
        <v>313602</v>
      </c>
      <c r="J99" s="69">
        <f t="shared" si="22"/>
        <v>249560</v>
      </c>
    </row>
    <row r="100" spans="1:10" ht="15.75" customHeight="1">
      <c r="A100" s="74" t="s">
        <v>25</v>
      </c>
      <c r="B100" s="68">
        <f>813581+802593+812503+811758</f>
        <v>3240435</v>
      </c>
      <c r="C100" s="68">
        <v>0</v>
      </c>
      <c r="D100" s="68">
        <f>742460+779023+827900+812719</f>
        <v>3162102</v>
      </c>
      <c r="E100" s="68">
        <v>0</v>
      </c>
      <c r="F100" s="68">
        <f>870805+823707+1054510+898493</f>
        <v>3647515</v>
      </c>
      <c r="G100" s="68">
        <f>138240+138240+138240+138240</f>
        <v>552960</v>
      </c>
      <c r="H100" s="68">
        <f>168561+140194+360617+248443</f>
        <v>917815</v>
      </c>
      <c r="I100" s="68">
        <f t="shared" si="21"/>
        <v>485413</v>
      </c>
      <c r="J100" s="69">
        <f t="shared" si="22"/>
        <v>407080</v>
      </c>
    </row>
    <row r="101" spans="1:10" ht="15.75" customHeight="1">
      <c r="A101" s="74" t="s">
        <v>27</v>
      </c>
      <c r="B101" s="68">
        <v>3729444</v>
      </c>
      <c r="C101" s="68">
        <f>10811*12</f>
        <v>129732</v>
      </c>
      <c r="D101" s="68">
        <f>3597429</f>
        <v>3597429</v>
      </c>
      <c r="E101" s="68">
        <v>119913</v>
      </c>
      <c r="F101" s="68">
        <v>3809810</v>
      </c>
      <c r="G101" s="68">
        <v>791124</v>
      </c>
      <c r="H101" s="68">
        <v>809436</v>
      </c>
      <c r="I101" s="68">
        <f t="shared" si="21"/>
        <v>92468</v>
      </c>
      <c r="J101" s="69">
        <f t="shared" si="22"/>
        <v>-49366</v>
      </c>
    </row>
    <row r="102" spans="1:10" ht="15.75" customHeight="1" thickBot="1">
      <c r="A102" s="76" t="s">
        <v>33</v>
      </c>
      <c r="B102" s="70">
        <f>1861956+619159+346384.4+1039150.32</f>
        <v>3866649.7199999997</v>
      </c>
      <c r="C102" s="70">
        <f>10811*8+9187.43*4</f>
        <v>123237.72</v>
      </c>
      <c r="D102" s="70">
        <f>1825880+638102+292560.75+1062235.46</f>
        <v>3818778.21</v>
      </c>
      <c r="E102" s="70">
        <f>36124+14925+4276.32+27545.03</f>
        <v>82870.35</v>
      </c>
      <c r="F102" s="70">
        <f>1959618+686495+275636+1154932.53</f>
        <v>4076681.5300000003</v>
      </c>
      <c r="G102" s="70">
        <f>395562+131854+69130+207390</f>
        <v>803936</v>
      </c>
      <c r="H102" s="70">
        <f>382007+176992+41073.39+344288.76</f>
        <v>944361.15</v>
      </c>
      <c r="I102" s="70">
        <f t="shared" si="21"/>
        <v>175032.9700000003</v>
      </c>
      <c r="J102" s="72">
        <f t="shared" si="22"/>
        <v>86794.09000000052</v>
      </c>
    </row>
    <row r="103" spans="1:10" ht="15.75" customHeight="1" thickBot="1" thickTop="1">
      <c r="A103" s="7" t="s">
        <v>6</v>
      </c>
      <c r="B103" s="5">
        <f aca="true" t="shared" si="23" ref="B103:H103">SUM(B97:B102)</f>
        <v>19375518.72</v>
      </c>
      <c r="C103" s="5">
        <f t="shared" si="23"/>
        <v>252969.72</v>
      </c>
      <c r="D103" s="5">
        <f t="shared" si="23"/>
        <v>18905408.21</v>
      </c>
      <c r="E103" s="5">
        <f t="shared" si="23"/>
        <v>202783.35</v>
      </c>
      <c r="F103" s="5">
        <f t="shared" si="23"/>
        <v>20742385.53</v>
      </c>
      <c r="G103" s="5">
        <f t="shared" si="23"/>
        <v>3658600</v>
      </c>
      <c r="H103" s="5">
        <f t="shared" si="23"/>
        <v>4913025.15</v>
      </c>
      <c r="I103" s="5">
        <f t="shared" si="21"/>
        <v>1634193.9700000002</v>
      </c>
      <c r="J103" s="9">
        <f t="shared" si="22"/>
        <v>1113897.0900000024</v>
      </c>
    </row>
    <row r="104" spans="1:10" ht="18.75" customHeight="1" thickTop="1">
      <c r="A104" s="1"/>
      <c r="B104" s="2"/>
      <c r="C104" s="2"/>
      <c r="D104" s="2"/>
      <c r="E104" s="2"/>
      <c r="F104" s="2"/>
      <c r="G104" s="2"/>
      <c r="H104" s="2"/>
      <c r="I104" s="2"/>
      <c r="J104" s="12"/>
    </row>
    <row r="105" spans="3:9" s="14" customFormat="1" ht="18.75" customHeight="1" thickBot="1">
      <c r="C105" s="16"/>
      <c r="D105" s="92" t="s">
        <v>45</v>
      </c>
      <c r="E105" s="92"/>
      <c r="F105" s="92"/>
      <c r="G105" s="92"/>
      <c r="H105" s="35"/>
      <c r="I105" s="17"/>
    </row>
    <row r="106" spans="1:9" s="14" customFormat="1" ht="18.75" customHeight="1" thickBot="1" thickTop="1">
      <c r="A106" s="90" t="s">
        <v>36</v>
      </c>
      <c r="B106" s="90"/>
      <c r="C106" s="90" t="s">
        <v>0</v>
      </c>
      <c r="D106" s="90" t="s">
        <v>1</v>
      </c>
      <c r="E106" s="90" t="s">
        <v>2</v>
      </c>
      <c r="F106" s="90" t="s">
        <v>3</v>
      </c>
      <c r="G106" s="90"/>
      <c r="H106" s="90" t="s">
        <v>52</v>
      </c>
      <c r="I106" s="90" t="s">
        <v>24</v>
      </c>
    </row>
    <row r="107" spans="1:9" s="14" customFormat="1" ht="18.75" customHeight="1" thickBot="1" thickTop="1">
      <c r="A107" s="90"/>
      <c r="B107" s="90"/>
      <c r="C107" s="90"/>
      <c r="D107" s="90"/>
      <c r="E107" s="90"/>
      <c r="F107" s="52" t="s">
        <v>4</v>
      </c>
      <c r="G107" s="52" t="s">
        <v>5</v>
      </c>
      <c r="H107" s="90"/>
      <c r="I107" s="90"/>
    </row>
    <row r="108" spans="1:9" s="14" customFormat="1" ht="15.75" customHeight="1" thickTop="1">
      <c r="A108" s="63" t="s">
        <v>37</v>
      </c>
      <c r="B108" s="63"/>
      <c r="C108" s="60">
        <f>393765.2+293264.81</f>
        <v>687030.01</v>
      </c>
      <c r="D108" s="60">
        <f>398606.55+289734.68</f>
        <v>688341.23</v>
      </c>
      <c r="E108" s="60">
        <f>435109.17+341758.19</f>
        <v>776867.36</v>
      </c>
      <c r="F108" s="60">
        <f>135000+103800</f>
        <v>238800</v>
      </c>
      <c r="G108" s="60">
        <f>179061.7+151630.65</f>
        <v>330692.35</v>
      </c>
      <c r="H108" s="60">
        <f aca="true" t="shared" si="24" ref="H108:H115">E108-D108</f>
        <v>88526.13</v>
      </c>
      <c r="I108" s="60">
        <f aca="true" t="shared" si="25" ref="I108:I115">E108-C108</f>
        <v>89837.34999999998</v>
      </c>
    </row>
    <row r="109" spans="1:9" s="14" customFormat="1" ht="15.75" customHeight="1">
      <c r="A109" s="64" t="s">
        <v>38</v>
      </c>
      <c r="B109" s="64"/>
      <c r="C109" s="61">
        <f>1216615.89+901158.9</f>
        <v>2117774.79</v>
      </c>
      <c r="D109" s="61">
        <f>1180444.06+894200.72</f>
        <v>2074644.78</v>
      </c>
      <c r="E109" s="61">
        <f>1127085.09+797067.1</f>
        <v>1924152.19</v>
      </c>
      <c r="F109" s="61">
        <f>301060+279380</f>
        <v>580440</v>
      </c>
      <c r="G109" s="61">
        <f>209207.21+164729.56</f>
        <v>373936.77</v>
      </c>
      <c r="H109" s="61">
        <f t="shared" si="24"/>
        <v>-150492.59000000008</v>
      </c>
      <c r="I109" s="61">
        <f t="shared" si="25"/>
        <v>-193622.6000000001</v>
      </c>
    </row>
    <row r="110" spans="1:9" s="14" customFormat="1" ht="15.75" customHeight="1">
      <c r="A110" s="64" t="s">
        <v>39</v>
      </c>
      <c r="B110" s="64"/>
      <c r="C110" s="61">
        <f>1393196.45+1032543.71</f>
        <v>2425740.16</v>
      </c>
      <c r="D110" s="61">
        <f>1329743.5+1014000.88</f>
        <v>2343744.38</v>
      </c>
      <c r="E110" s="61">
        <f>1408805.6+1086047.8</f>
        <v>2494853.4000000004</v>
      </c>
      <c r="F110" s="61">
        <f>341470+277850</f>
        <v>619320</v>
      </c>
      <c r="G110" s="61">
        <f>382898.26+339319.35</f>
        <v>722217.61</v>
      </c>
      <c r="H110" s="61">
        <f t="shared" si="24"/>
        <v>151109.02000000048</v>
      </c>
      <c r="I110" s="61">
        <f t="shared" si="25"/>
        <v>69113.24000000022</v>
      </c>
    </row>
    <row r="111" spans="1:9" s="14" customFormat="1" ht="15.75" customHeight="1">
      <c r="A111" s="64" t="s">
        <v>40</v>
      </c>
      <c r="B111" s="64"/>
      <c r="C111" s="61">
        <f>1608765.6+1192567.4</f>
        <v>2801333</v>
      </c>
      <c r="D111" s="61">
        <f>1566364.76+1169005.61</f>
        <v>2735370.37</v>
      </c>
      <c r="E111" s="61">
        <f>1604274.15+1313174.86</f>
        <v>2917449.01</v>
      </c>
      <c r="F111" s="61">
        <f>395400+305880</f>
        <v>701280</v>
      </c>
      <c r="G111" s="61">
        <f>420401.56+432657.63</f>
        <v>853059.19</v>
      </c>
      <c r="H111" s="61">
        <f t="shared" si="24"/>
        <v>182078.63999999966</v>
      </c>
      <c r="I111" s="61">
        <f t="shared" si="25"/>
        <v>116116.00999999978</v>
      </c>
    </row>
    <row r="112" spans="1:9" s="14" customFormat="1" ht="15.75" customHeight="1">
      <c r="A112" s="64" t="s">
        <v>41</v>
      </c>
      <c r="B112" s="64"/>
      <c r="C112" s="61">
        <v>2791210.76</v>
      </c>
      <c r="D112" s="61">
        <v>2772608.04</v>
      </c>
      <c r="E112" s="61">
        <v>2892223.78</v>
      </c>
      <c r="F112" s="61">
        <v>674520</v>
      </c>
      <c r="G112" s="61">
        <v>775080.36</v>
      </c>
      <c r="H112" s="61">
        <f t="shared" si="24"/>
        <v>119615.73999999976</v>
      </c>
      <c r="I112" s="61">
        <f t="shared" si="25"/>
        <v>101013.02000000002</v>
      </c>
    </row>
    <row r="113" spans="1:9" s="14" customFormat="1" ht="15.75" customHeight="1">
      <c r="A113" s="64" t="s">
        <v>42</v>
      </c>
      <c r="B113" s="64"/>
      <c r="C113" s="61">
        <v>3220646.76</v>
      </c>
      <c r="D113" s="61">
        <v>3149104.55</v>
      </c>
      <c r="E113" s="61">
        <v>2747438.37</v>
      </c>
      <c r="F113" s="61">
        <v>748320</v>
      </c>
      <c r="G113" s="61">
        <v>419886.97</v>
      </c>
      <c r="H113" s="61">
        <f t="shared" si="24"/>
        <v>-401666.1799999997</v>
      </c>
      <c r="I113" s="61">
        <f t="shared" si="25"/>
        <v>-473208.38999999966</v>
      </c>
    </row>
    <row r="114" spans="1:9" s="14" customFormat="1" ht="15.75" customHeight="1" thickBot="1">
      <c r="A114" s="65" t="s">
        <v>43</v>
      </c>
      <c r="B114" s="65"/>
      <c r="C114" s="62">
        <f>1878672.09+268380.81+300126.2+900378.6</f>
        <v>3347557.7</v>
      </c>
      <c r="D114" s="62">
        <f>1787348.02+262817.72+284720.69+888060.45</f>
        <v>3222946.88</v>
      </c>
      <c r="E114" s="62">
        <f>1644902.4+234776.73+251040.67+805427.04</f>
        <v>2936146.84</v>
      </c>
      <c r="F114" s="62">
        <f>436520+62360+51270+153810</f>
        <v>703960</v>
      </c>
      <c r="G114" s="62">
        <f>294928.96+22361.8+17133.06+130435.25</f>
        <v>464859.07</v>
      </c>
      <c r="H114" s="62">
        <f t="shared" si="24"/>
        <v>-286800.04000000004</v>
      </c>
      <c r="I114" s="62">
        <f t="shared" si="25"/>
        <v>-411410.86000000034</v>
      </c>
    </row>
    <row r="115" spans="1:9" s="14" customFormat="1" ht="15.75" customHeight="1" thickBot="1" thickTop="1">
      <c r="A115" s="91" t="s">
        <v>6</v>
      </c>
      <c r="B115" s="91"/>
      <c r="C115" s="53">
        <f>SUM(C108:C114)</f>
        <v>17391293.18</v>
      </c>
      <c r="D115" s="53">
        <f>SUM(D108:D114)</f>
        <v>16986760.23</v>
      </c>
      <c r="E115" s="53">
        <f>SUM(E108:E114)</f>
        <v>16689130.95</v>
      </c>
      <c r="F115" s="53">
        <f>SUM(F108:F114)</f>
        <v>4266640</v>
      </c>
      <c r="G115" s="53">
        <f>SUM(G108:G114)</f>
        <v>3939732.32</v>
      </c>
      <c r="H115" s="53">
        <f t="shared" si="24"/>
        <v>-297629.2800000012</v>
      </c>
      <c r="I115" s="53">
        <f t="shared" si="25"/>
        <v>-702162.2300000004</v>
      </c>
    </row>
    <row r="116" spans="1:10" ht="15.75" customHeight="1" thickTop="1">
      <c r="A116" s="1"/>
      <c r="B116" s="2"/>
      <c r="C116" s="2"/>
      <c r="D116" s="2"/>
      <c r="E116" s="2"/>
      <c r="F116" s="2"/>
      <c r="G116" s="2"/>
      <c r="H116" s="2"/>
      <c r="I116" s="2"/>
      <c r="J116" s="12"/>
    </row>
    <row r="117" spans="1:9" ht="18.75" customHeight="1" thickBot="1">
      <c r="A117" s="1"/>
      <c r="B117" s="87" t="s">
        <v>18</v>
      </c>
      <c r="C117" s="87"/>
      <c r="D117" s="88"/>
      <c r="E117" s="88"/>
      <c r="F117" s="88"/>
      <c r="G117" s="88"/>
      <c r="H117" s="88"/>
      <c r="I117" s="2"/>
    </row>
    <row r="118" spans="1:10" ht="18.75" customHeight="1" thickBot="1" thickTop="1">
      <c r="A118" s="84"/>
      <c r="B118" s="84" t="s">
        <v>0</v>
      </c>
      <c r="C118" s="84" t="s">
        <v>31</v>
      </c>
      <c r="D118" s="84" t="s">
        <v>1</v>
      </c>
      <c r="E118" s="84" t="s">
        <v>32</v>
      </c>
      <c r="F118" s="84" t="s">
        <v>2</v>
      </c>
      <c r="G118" s="84" t="s">
        <v>3</v>
      </c>
      <c r="H118" s="84"/>
      <c r="I118" s="84" t="s">
        <v>52</v>
      </c>
      <c r="J118" s="84" t="s">
        <v>53</v>
      </c>
    </row>
    <row r="119" spans="1:10" ht="18.75" customHeight="1" thickBot="1" thickTop="1">
      <c r="A119" s="84"/>
      <c r="B119" s="84"/>
      <c r="C119" s="84"/>
      <c r="D119" s="84"/>
      <c r="E119" s="84"/>
      <c r="F119" s="84"/>
      <c r="G119" s="3" t="s">
        <v>4</v>
      </c>
      <c r="H119" s="3" t="s">
        <v>5</v>
      </c>
      <c r="I119" s="84"/>
      <c r="J119" s="84"/>
    </row>
    <row r="120" spans="1:10" ht="15.75" customHeight="1" thickTop="1">
      <c r="A120" s="77" t="s">
        <v>9</v>
      </c>
      <c r="B120" s="66">
        <f>360462+37185</f>
        <v>397647</v>
      </c>
      <c r="C120" s="66">
        <v>0</v>
      </c>
      <c r="D120" s="66">
        <v>391918</v>
      </c>
      <c r="E120" s="66">
        <v>0</v>
      </c>
      <c r="F120" s="66">
        <v>405632</v>
      </c>
      <c r="G120" s="66">
        <v>97800</v>
      </c>
      <c r="H120" s="66">
        <v>103495</v>
      </c>
      <c r="I120" s="66">
        <f aca="true" t="shared" si="26" ref="I120:I126">F120-D120-E120</f>
        <v>13714</v>
      </c>
      <c r="J120" s="67">
        <f aca="true" t="shared" si="27" ref="J120:J126">F120-B120-C120</f>
        <v>7985</v>
      </c>
    </row>
    <row r="121" spans="1:10" ht="15.75" customHeight="1">
      <c r="A121" s="74" t="s">
        <v>8</v>
      </c>
      <c r="B121" s="68">
        <f>402394+46011</f>
        <v>448405</v>
      </c>
      <c r="C121" s="68">
        <v>0</v>
      </c>
      <c r="D121" s="68">
        <v>437635</v>
      </c>
      <c r="E121" s="68">
        <v>0</v>
      </c>
      <c r="F121" s="68">
        <v>502455</v>
      </c>
      <c r="G121" s="68">
        <v>71620</v>
      </c>
      <c r="H121" s="68">
        <v>158814</v>
      </c>
      <c r="I121" s="68">
        <f t="shared" si="26"/>
        <v>64820</v>
      </c>
      <c r="J121" s="69">
        <f t="shared" si="27"/>
        <v>54050</v>
      </c>
    </row>
    <row r="122" spans="1:10" ht="15.75" customHeight="1">
      <c r="A122" s="75" t="s">
        <v>7</v>
      </c>
      <c r="B122" s="68">
        <v>517259</v>
      </c>
      <c r="C122" s="68">
        <v>0</v>
      </c>
      <c r="D122" s="68">
        <v>503092</v>
      </c>
      <c r="E122" s="68">
        <v>0</v>
      </c>
      <c r="F122" s="68">
        <v>636151</v>
      </c>
      <c r="G122" s="68">
        <v>96720</v>
      </c>
      <c r="H122" s="68">
        <v>208781</v>
      </c>
      <c r="I122" s="68">
        <f t="shared" si="26"/>
        <v>133059</v>
      </c>
      <c r="J122" s="69">
        <f t="shared" si="27"/>
        <v>118892</v>
      </c>
    </row>
    <row r="123" spans="1:10" ht="15.75" customHeight="1">
      <c r="A123" s="74" t="s">
        <v>25</v>
      </c>
      <c r="B123" s="68">
        <f>129315+129315+129315+129315</f>
        <v>517260</v>
      </c>
      <c r="C123" s="68">
        <v>0</v>
      </c>
      <c r="D123" s="68">
        <f>117679+129442+134307+139686</f>
        <v>521114</v>
      </c>
      <c r="E123" s="68">
        <v>0</v>
      </c>
      <c r="F123" s="68">
        <f>133913+166498+135877+177177</f>
        <v>613465</v>
      </c>
      <c r="G123" s="68">
        <f>27000+27000+27000+27000</f>
        <v>108000</v>
      </c>
      <c r="H123" s="68">
        <f>29957+56967+41933+79079</f>
        <v>207936</v>
      </c>
      <c r="I123" s="68">
        <f t="shared" si="26"/>
        <v>92351</v>
      </c>
      <c r="J123" s="69">
        <f t="shared" si="27"/>
        <v>96205</v>
      </c>
    </row>
    <row r="124" spans="1:10" ht="15.75" customHeight="1">
      <c r="A124" s="74" t="s">
        <v>27</v>
      </c>
      <c r="B124" s="68">
        <v>594480</v>
      </c>
      <c r="C124" s="68">
        <f>1759*12</f>
        <v>21108</v>
      </c>
      <c r="D124" s="68">
        <f>580353</f>
        <v>580353</v>
      </c>
      <c r="E124" s="68">
        <v>23733</v>
      </c>
      <c r="F124" s="68">
        <v>553519</v>
      </c>
      <c r="G124" s="68">
        <v>152100</v>
      </c>
      <c r="H124" s="68">
        <v>133282</v>
      </c>
      <c r="I124" s="68">
        <f t="shared" si="26"/>
        <v>-50567</v>
      </c>
      <c r="J124" s="69">
        <f t="shared" si="27"/>
        <v>-62069</v>
      </c>
    </row>
    <row r="125" spans="1:10" ht="15.75" customHeight="1" thickBot="1">
      <c r="A125" s="76" t="s">
        <v>33</v>
      </c>
      <c r="B125" s="70">
        <f>297239+99080+55407.08+166221.24</f>
        <v>617947.3200000001</v>
      </c>
      <c r="C125" s="70">
        <f>1759*8+1781.41*4</f>
        <v>21197.64</v>
      </c>
      <c r="D125" s="70">
        <f>279395+99097+46753.31+171544.93</f>
        <v>596790.24</v>
      </c>
      <c r="E125" s="70">
        <f>6438+3261+1384.84+4159.71</f>
        <v>15243.55</v>
      </c>
      <c r="F125" s="70">
        <f>279599+90538+43178.66+122402.12</f>
        <v>535717.78</v>
      </c>
      <c r="G125" s="70">
        <f>76050+25350+19900+59700</f>
        <v>181000</v>
      </c>
      <c r="H125" s="70">
        <f>49520+17610+4387.51+13511.55</f>
        <v>85029.06</v>
      </c>
      <c r="I125" s="70">
        <f t="shared" si="26"/>
        <v>-76316.00999999997</v>
      </c>
      <c r="J125" s="72">
        <f t="shared" si="27"/>
        <v>-103427.18000000004</v>
      </c>
    </row>
    <row r="126" spans="1:10" ht="15.75" customHeight="1" thickBot="1" thickTop="1">
      <c r="A126" s="7" t="s">
        <v>6</v>
      </c>
      <c r="B126" s="5">
        <f aca="true" t="shared" si="28" ref="B126:H126">SUM(B120:B125)</f>
        <v>3092998.3200000003</v>
      </c>
      <c r="C126" s="5">
        <f t="shared" si="28"/>
        <v>42305.64</v>
      </c>
      <c r="D126" s="5">
        <f t="shared" si="28"/>
        <v>3030902.24</v>
      </c>
      <c r="E126" s="5">
        <f t="shared" si="28"/>
        <v>38976.55</v>
      </c>
      <c r="F126" s="5">
        <f t="shared" si="28"/>
        <v>3246939.7800000003</v>
      </c>
      <c r="G126" s="5">
        <f t="shared" si="28"/>
        <v>707240</v>
      </c>
      <c r="H126" s="5">
        <f t="shared" si="28"/>
        <v>897337.06</v>
      </c>
      <c r="I126" s="5">
        <f t="shared" si="26"/>
        <v>177060.99000000005</v>
      </c>
      <c r="J126" s="9">
        <f t="shared" si="27"/>
        <v>111635.81999999996</v>
      </c>
    </row>
    <row r="127" spans="1:10" ht="15.75" customHeight="1" thickTop="1">
      <c r="A127" s="1"/>
      <c r="B127" s="2"/>
      <c r="C127" s="2"/>
      <c r="D127" s="2"/>
      <c r="E127" s="2"/>
      <c r="F127" s="2"/>
      <c r="G127" s="2"/>
      <c r="H127" s="2"/>
      <c r="I127" s="10"/>
      <c r="J127" s="12"/>
    </row>
    <row r="128" spans="1:10" ht="18.75" customHeight="1">
      <c r="A128" s="1"/>
      <c r="B128" s="2"/>
      <c r="C128" s="2"/>
      <c r="D128" s="2"/>
      <c r="E128" s="2"/>
      <c r="F128" s="2"/>
      <c r="G128" s="2"/>
      <c r="H128" s="2"/>
      <c r="I128" s="10"/>
      <c r="J128" s="12"/>
    </row>
    <row r="129" spans="3:9" s="14" customFormat="1" ht="18.75" customHeight="1" thickBot="1">
      <c r="C129" s="16"/>
      <c r="D129" s="92" t="s">
        <v>46</v>
      </c>
      <c r="E129" s="92"/>
      <c r="F129" s="92"/>
      <c r="G129" s="92"/>
      <c r="H129" s="35"/>
      <c r="I129" s="17"/>
    </row>
    <row r="130" spans="1:9" s="14" customFormat="1" ht="18.75" customHeight="1" thickBot="1" thickTop="1">
      <c r="A130" s="90" t="s">
        <v>36</v>
      </c>
      <c r="B130" s="90"/>
      <c r="C130" s="90" t="s">
        <v>0</v>
      </c>
      <c r="D130" s="90" t="s">
        <v>1</v>
      </c>
      <c r="E130" s="90" t="s">
        <v>2</v>
      </c>
      <c r="F130" s="90" t="s">
        <v>3</v>
      </c>
      <c r="G130" s="90"/>
      <c r="H130" s="90" t="s">
        <v>52</v>
      </c>
      <c r="I130" s="90" t="s">
        <v>24</v>
      </c>
    </row>
    <row r="131" spans="1:9" s="14" customFormat="1" ht="18.75" customHeight="1" thickBot="1" thickTop="1">
      <c r="A131" s="90"/>
      <c r="B131" s="90"/>
      <c r="C131" s="90"/>
      <c r="D131" s="90"/>
      <c r="E131" s="90"/>
      <c r="F131" s="52" t="s">
        <v>4</v>
      </c>
      <c r="G131" s="52" t="s">
        <v>5</v>
      </c>
      <c r="H131" s="90"/>
      <c r="I131" s="90"/>
    </row>
    <row r="132" spans="1:9" s="14" customFormat="1" ht="15.75" customHeight="1" thickTop="1">
      <c r="A132" s="63" t="s">
        <v>37</v>
      </c>
      <c r="B132" s="63"/>
      <c r="C132" s="60">
        <v>305916.63</v>
      </c>
      <c r="D132" s="60">
        <v>309958.91</v>
      </c>
      <c r="E132" s="60">
        <v>279297.89</v>
      </c>
      <c r="F132" s="60">
        <v>111600</v>
      </c>
      <c r="G132" s="60">
        <v>85939.07</v>
      </c>
      <c r="H132" s="60">
        <f aca="true" t="shared" si="29" ref="H132:H139">E132-D132</f>
        <v>-30661.01999999996</v>
      </c>
      <c r="I132" s="60">
        <f aca="true" t="shared" si="30" ref="I132:I139">E132-C132</f>
        <v>-26618.73999999999</v>
      </c>
    </row>
    <row r="133" spans="1:9" s="14" customFormat="1" ht="15.75" customHeight="1">
      <c r="A133" s="64" t="s">
        <v>38</v>
      </c>
      <c r="B133" s="64"/>
      <c r="C133" s="61">
        <v>941812.59</v>
      </c>
      <c r="D133" s="61">
        <v>923294.74</v>
      </c>
      <c r="E133" s="61">
        <v>888667.71</v>
      </c>
      <c r="F133" s="61">
        <v>236400</v>
      </c>
      <c r="G133" s="61">
        <v>178873.72</v>
      </c>
      <c r="H133" s="61">
        <f t="shared" si="29"/>
        <v>-34627.03000000003</v>
      </c>
      <c r="I133" s="61">
        <f t="shared" si="30"/>
        <v>-53144.880000000005</v>
      </c>
    </row>
    <row r="134" spans="1:9" s="14" customFormat="1" ht="15.75" customHeight="1">
      <c r="A134" s="64" t="s">
        <v>39</v>
      </c>
      <c r="B134" s="64"/>
      <c r="C134" s="61">
        <v>1081234.99</v>
      </c>
      <c r="D134" s="61">
        <v>1066078.73</v>
      </c>
      <c r="E134" s="61">
        <v>1108321.07</v>
      </c>
      <c r="F134" s="61">
        <v>254490</v>
      </c>
      <c r="G134" s="61">
        <v>298304</v>
      </c>
      <c r="H134" s="61">
        <f t="shared" si="29"/>
        <v>42242.340000000084</v>
      </c>
      <c r="I134" s="61">
        <f t="shared" si="30"/>
        <v>27086.080000000075</v>
      </c>
    </row>
    <row r="135" spans="1:9" s="14" customFormat="1" ht="15.75" customHeight="1">
      <c r="A135" s="64" t="s">
        <v>40</v>
      </c>
      <c r="B135" s="64"/>
      <c r="C135" s="61">
        <v>1248522.18</v>
      </c>
      <c r="D135" s="61">
        <v>1246304.71</v>
      </c>
      <c r="E135" s="61">
        <v>1235617.57</v>
      </c>
      <c r="F135" s="61">
        <v>285360</v>
      </c>
      <c r="G135" s="61">
        <v>294324.89</v>
      </c>
      <c r="H135" s="61">
        <f t="shared" si="29"/>
        <v>-10687.139999999898</v>
      </c>
      <c r="I135" s="61">
        <f t="shared" si="30"/>
        <v>-12904.60999999987</v>
      </c>
    </row>
    <row r="136" spans="1:9" s="14" customFormat="1" ht="15.75" customHeight="1">
      <c r="A136" s="64" t="s">
        <v>41</v>
      </c>
      <c r="B136" s="64"/>
      <c r="C136" s="61">
        <v>1248533.28</v>
      </c>
      <c r="D136" s="61">
        <v>1259020.63</v>
      </c>
      <c r="E136" s="61">
        <v>1317102.49</v>
      </c>
      <c r="F136" s="61">
        <v>275760</v>
      </c>
      <c r="G136" s="61">
        <v>339424.53</v>
      </c>
      <c r="H136" s="61">
        <f t="shared" si="29"/>
        <v>58081.8600000001</v>
      </c>
      <c r="I136" s="61">
        <f t="shared" si="30"/>
        <v>68569.20999999996</v>
      </c>
    </row>
    <row r="137" spans="1:9" s="14" customFormat="1" ht="15.75" customHeight="1">
      <c r="A137" s="64" t="s">
        <v>42</v>
      </c>
      <c r="B137" s="64"/>
      <c r="C137" s="61">
        <v>1435036.8</v>
      </c>
      <c r="D137" s="61">
        <v>1412612.11</v>
      </c>
      <c r="E137" s="61">
        <v>1410834.2</v>
      </c>
      <c r="F137" s="61">
        <v>268440</v>
      </c>
      <c r="G137" s="61">
        <v>289786.06</v>
      </c>
      <c r="H137" s="61">
        <f t="shared" si="29"/>
        <v>-1777.910000000149</v>
      </c>
      <c r="I137" s="61">
        <f t="shared" si="30"/>
        <v>-24202.600000000093</v>
      </c>
    </row>
    <row r="138" spans="1:9" s="14" customFormat="1" ht="15.75" customHeight="1" thickBot="1">
      <c r="A138" s="65" t="s">
        <v>43</v>
      </c>
      <c r="B138" s="65"/>
      <c r="C138" s="62">
        <f>830476.9+119586.4+133731.57+401194.71</f>
        <v>1484989.58</v>
      </c>
      <c r="D138" s="62">
        <f>863522.92+110105.41+109241.82+410236.77</f>
        <v>1493106.9200000002</v>
      </c>
      <c r="E138" s="62">
        <f>851060.87+128689.47+121920.99+410128.21</f>
        <v>1511799.54</v>
      </c>
      <c r="F138" s="62">
        <f>156590+22370+17280+51840</f>
        <v>248080</v>
      </c>
      <c r="G138" s="62">
        <f>185324.64+31896.79+28614.27+82545.24</f>
        <v>328380.94</v>
      </c>
      <c r="H138" s="62">
        <f t="shared" si="29"/>
        <v>18692.61999999988</v>
      </c>
      <c r="I138" s="62">
        <f t="shared" si="30"/>
        <v>26809.959999999963</v>
      </c>
    </row>
    <row r="139" spans="1:9" s="14" customFormat="1" ht="15.75" customHeight="1" thickBot="1" thickTop="1">
      <c r="A139" s="91" t="s">
        <v>6</v>
      </c>
      <c r="B139" s="91"/>
      <c r="C139" s="53">
        <f>SUM(C132:C138)</f>
        <v>7746046.05</v>
      </c>
      <c r="D139" s="53">
        <f>SUM(D132:D138)</f>
        <v>7710376.75</v>
      </c>
      <c r="E139" s="53">
        <f>SUM(E132:E138)</f>
        <v>7751640.470000001</v>
      </c>
      <c r="F139" s="53">
        <f>SUM(F132:F138)</f>
        <v>1680130</v>
      </c>
      <c r="G139" s="53">
        <f>SUM(G132:G138)</f>
        <v>1815033.21</v>
      </c>
      <c r="H139" s="53">
        <f t="shared" si="29"/>
        <v>41263.72000000067</v>
      </c>
      <c r="I139" s="53">
        <f t="shared" si="30"/>
        <v>5594.420000000857</v>
      </c>
    </row>
    <row r="140" s="14" customFormat="1" ht="18.75" customHeight="1" thickTop="1"/>
    <row r="141" spans="3:9" s="14" customFormat="1" ht="18.75" customHeight="1" thickBot="1">
      <c r="C141" s="16"/>
      <c r="D141" s="92" t="s">
        <v>47</v>
      </c>
      <c r="E141" s="92"/>
      <c r="F141" s="92"/>
      <c r="G141" s="92"/>
      <c r="H141" s="35"/>
      <c r="I141" s="17"/>
    </row>
    <row r="142" spans="1:9" s="14" customFormat="1" ht="18.75" customHeight="1" thickBot="1" thickTop="1">
      <c r="A142" s="90" t="s">
        <v>36</v>
      </c>
      <c r="B142" s="90"/>
      <c r="C142" s="90" t="s">
        <v>0</v>
      </c>
      <c r="D142" s="90" t="s">
        <v>1</v>
      </c>
      <c r="E142" s="90" t="s">
        <v>2</v>
      </c>
      <c r="F142" s="90" t="s">
        <v>3</v>
      </c>
      <c r="G142" s="90"/>
      <c r="H142" s="90" t="s">
        <v>52</v>
      </c>
      <c r="I142" s="90" t="s">
        <v>24</v>
      </c>
    </row>
    <row r="143" spans="1:9" s="14" customFormat="1" ht="18.75" customHeight="1" thickBot="1" thickTop="1">
      <c r="A143" s="90"/>
      <c r="B143" s="90"/>
      <c r="C143" s="90"/>
      <c r="D143" s="90"/>
      <c r="E143" s="90"/>
      <c r="F143" s="52" t="s">
        <v>4</v>
      </c>
      <c r="G143" s="52" t="s">
        <v>5</v>
      </c>
      <c r="H143" s="90"/>
      <c r="I143" s="90"/>
    </row>
    <row r="144" spans="1:9" s="14" customFormat="1" ht="15.75" customHeight="1" thickTop="1">
      <c r="A144" s="63" t="s">
        <v>37</v>
      </c>
      <c r="B144" s="63"/>
      <c r="C144" s="60">
        <v>305899.27</v>
      </c>
      <c r="D144" s="60">
        <v>319638.47</v>
      </c>
      <c r="E144" s="60">
        <v>413426.74</v>
      </c>
      <c r="F144" s="60">
        <v>111600</v>
      </c>
      <c r="G144" s="60">
        <v>207178.22</v>
      </c>
      <c r="H144" s="60">
        <f aca="true" t="shared" si="31" ref="H144:H151">E144-D144</f>
        <v>93788.27000000002</v>
      </c>
      <c r="I144" s="60">
        <f aca="true" t="shared" si="32" ref="I144:I151">E144-C144</f>
        <v>107527.46999999997</v>
      </c>
    </row>
    <row r="145" spans="1:9" s="14" customFormat="1" ht="15.75" customHeight="1">
      <c r="A145" s="64" t="s">
        <v>38</v>
      </c>
      <c r="B145" s="64"/>
      <c r="C145" s="61">
        <v>948809.16</v>
      </c>
      <c r="D145" s="61">
        <v>908833.03</v>
      </c>
      <c r="E145" s="61">
        <v>904559.54</v>
      </c>
      <c r="F145" s="61">
        <v>224940</v>
      </c>
      <c r="G145" s="61">
        <v>188146.47</v>
      </c>
      <c r="H145" s="61">
        <f t="shared" si="31"/>
        <v>-4273.489999999991</v>
      </c>
      <c r="I145" s="61">
        <f t="shared" si="32"/>
        <v>-44249.619999999995</v>
      </c>
    </row>
    <row r="146" spans="1:9" s="14" customFormat="1" ht="15.75" customHeight="1">
      <c r="A146" s="64" t="s">
        <v>39</v>
      </c>
      <c r="B146" s="64"/>
      <c r="C146" s="61">
        <v>1082947.7</v>
      </c>
      <c r="D146" s="61">
        <v>1067663.56</v>
      </c>
      <c r="E146" s="61">
        <v>1017137.73</v>
      </c>
      <c r="F146" s="61">
        <v>252880</v>
      </c>
      <c r="G146" s="61">
        <v>215136.7</v>
      </c>
      <c r="H146" s="61">
        <f t="shared" si="31"/>
        <v>-50525.830000000075</v>
      </c>
      <c r="I146" s="61">
        <f t="shared" si="32"/>
        <v>-65809.96999999997</v>
      </c>
    </row>
    <row r="147" spans="1:9" s="14" customFormat="1" ht="15.75" customHeight="1">
      <c r="A147" s="64" t="s">
        <v>40</v>
      </c>
      <c r="B147" s="64"/>
      <c r="C147" s="61">
        <v>1251270.12</v>
      </c>
      <c r="D147" s="61">
        <v>1185293.89</v>
      </c>
      <c r="E147" s="61">
        <v>1200443.89</v>
      </c>
      <c r="F147" s="61">
        <v>290880</v>
      </c>
      <c r="G147" s="61">
        <v>276022.45</v>
      </c>
      <c r="H147" s="61">
        <f t="shared" si="31"/>
        <v>15150</v>
      </c>
      <c r="I147" s="61">
        <f t="shared" si="32"/>
        <v>-50826.230000000214</v>
      </c>
    </row>
    <row r="148" spans="1:9" s="14" customFormat="1" ht="15.75" customHeight="1">
      <c r="A148" s="64" t="s">
        <v>41</v>
      </c>
      <c r="B148" s="64"/>
      <c r="C148" s="61">
        <v>1243477.82</v>
      </c>
      <c r="D148" s="61">
        <v>1248328.03</v>
      </c>
      <c r="E148" s="61">
        <v>1315182.55</v>
      </c>
      <c r="F148" s="61">
        <v>284280</v>
      </c>
      <c r="G148" s="61">
        <v>340604.09</v>
      </c>
      <c r="H148" s="61">
        <f t="shared" si="31"/>
        <v>66854.52000000002</v>
      </c>
      <c r="I148" s="61">
        <f t="shared" si="32"/>
        <v>71704.72999999998</v>
      </c>
    </row>
    <row r="149" spans="1:9" s="14" customFormat="1" ht="15.75" customHeight="1">
      <c r="A149" s="64" t="s">
        <v>42</v>
      </c>
      <c r="B149" s="64"/>
      <c r="C149" s="61">
        <v>1435050.6</v>
      </c>
      <c r="D149" s="61">
        <v>1420366.89</v>
      </c>
      <c r="E149" s="61">
        <v>1382290.66</v>
      </c>
      <c r="F149" s="61">
        <v>297960</v>
      </c>
      <c r="G149" s="61">
        <v>257910.36</v>
      </c>
      <c r="H149" s="61">
        <f t="shared" si="31"/>
        <v>-38076.22999999998</v>
      </c>
      <c r="I149" s="61">
        <f t="shared" si="32"/>
        <v>-52759.94000000018</v>
      </c>
    </row>
    <row r="150" spans="1:9" s="14" customFormat="1" ht="15.75" customHeight="1" thickBot="1">
      <c r="A150" s="65" t="s">
        <v>43</v>
      </c>
      <c r="B150" s="65"/>
      <c r="C150" s="62">
        <f>837112.85+119587.55+133733.07+401199.21</f>
        <v>1491632.68</v>
      </c>
      <c r="D150" s="62">
        <f>801565.34+119283.62+122276.58+416813.74</f>
        <v>1459939.2799999998</v>
      </c>
      <c r="E150" s="62">
        <f>833664.04+109288.38+143022.3+360144.78</f>
        <v>1446119.5</v>
      </c>
      <c r="F150" s="62">
        <f>173810+24830+17940+53820</f>
        <v>270400</v>
      </c>
      <c r="G150" s="62">
        <f>176264.27+10638.76+32688.41+34791.62</f>
        <v>254383.06</v>
      </c>
      <c r="H150" s="62">
        <f>E150-D150</f>
        <v>-13819.779999999795</v>
      </c>
      <c r="I150" s="62">
        <f>E150-C150</f>
        <v>-45513.179999999935</v>
      </c>
    </row>
    <row r="151" spans="1:9" s="14" customFormat="1" ht="15.75" customHeight="1" thickBot="1" thickTop="1">
      <c r="A151" s="91" t="s">
        <v>6</v>
      </c>
      <c r="B151" s="91"/>
      <c r="C151" s="53">
        <f>SUM(C144:C150)</f>
        <v>7759087.35</v>
      </c>
      <c r="D151" s="53">
        <f>SUM(D144:D150)</f>
        <v>7610063.15</v>
      </c>
      <c r="E151" s="53">
        <f>SUM(E144:E150)</f>
        <v>7679160.609999999</v>
      </c>
      <c r="F151" s="53">
        <f>SUM(F144:F150)</f>
        <v>1732940</v>
      </c>
      <c r="G151" s="53">
        <f>SUM(G144:G150)</f>
        <v>1739381.35</v>
      </c>
      <c r="H151" s="53">
        <f t="shared" si="31"/>
        <v>69097.45999999903</v>
      </c>
      <c r="I151" s="53">
        <f t="shared" si="32"/>
        <v>-79926.74000000022</v>
      </c>
    </row>
    <row r="152" spans="1:8" s="14" customFormat="1" ht="18.75" customHeight="1" thickTop="1">
      <c r="A152" s="16"/>
      <c r="B152" s="17"/>
      <c r="C152" s="17"/>
      <c r="D152" s="17"/>
      <c r="E152" s="17"/>
      <c r="F152" s="17"/>
      <c r="G152" s="17"/>
      <c r="H152" s="17"/>
    </row>
    <row r="153" spans="1:9" ht="18.75" customHeight="1" thickBot="1">
      <c r="A153" s="1"/>
      <c r="B153" s="87" t="s">
        <v>19</v>
      </c>
      <c r="C153" s="87"/>
      <c r="D153" s="88"/>
      <c r="E153" s="88"/>
      <c r="F153" s="88"/>
      <c r="G153" s="88"/>
      <c r="H153" s="88"/>
      <c r="I153" s="2"/>
    </row>
    <row r="154" spans="1:10" ht="18.75" customHeight="1" thickBot="1" thickTop="1">
      <c r="A154" s="84"/>
      <c r="B154" s="84" t="s">
        <v>0</v>
      </c>
      <c r="C154" s="85" t="s">
        <v>31</v>
      </c>
      <c r="D154" s="84" t="s">
        <v>1</v>
      </c>
      <c r="E154" s="85" t="s">
        <v>32</v>
      </c>
      <c r="F154" s="84" t="s">
        <v>2</v>
      </c>
      <c r="G154" s="84" t="s">
        <v>3</v>
      </c>
      <c r="H154" s="84"/>
      <c r="I154" s="84" t="s">
        <v>52</v>
      </c>
      <c r="J154" s="84" t="s">
        <v>53</v>
      </c>
    </row>
    <row r="155" spans="1:10" ht="18.75" customHeight="1" thickBot="1" thickTop="1">
      <c r="A155" s="84"/>
      <c r="B155" s="84"/>
      <c r="C155" s="86"/>
      <c r="D155" s="84"/>
      <c r="E155" s="86"/>
      <c r="F155" s="84"/>
      <c r="G155" s="3" t="s">
        <v>4</v>
      </c>
      <c r="H155" s="3" t="s">
        <v>5</v>
      </c>
      <c r="I155" s="84"/>
      <c r="J155" s="84"/>
    </row>
    <row r="156" spans="1:10" ht="15.75" customHeight="1" thickTop="1">
      <c r="A156" s="77" t="s">
        <v>8</v>
      </c>
      <c r="B156" s="66">
        <f>2112349+276151</f>
        <v>2388500</v>
      </c>
      <c r="C156" s="66">
        <v>0</v>
      </c>
      <c r="D156" s="66">
        <v>2422439</v>
      </c>
      <c r="E156" s="66">
        <v>0</v>
      </c>
      <c r="F156" s="66">
        <v>2588308</v>
      </c>
      <c r="G156" s="66">
        <v>381820</v>
      </c>
      <c r="H156" s="66">
        <v>565179</v>
      </c>
      <c r="I156" s="66">
        <f aca="true" t="shared" si="33" ref="I156:I161">F156-D156-E156</f>
        <v>165869</v>
      </c>
      <c r="J156" s="67">
        <f aca="true" t="shared" si="34" ref="J156:J161">F156-B156-C156</f>
        <v>199808</v>
      </c>
    </row>
    <row r="157" spans="1:10" ht="15.75" customHeight="1">
      <c r="A157" s="75" t="s">
        <v>7</v>
      </c>
      <c r="B157" s="68">
        <v>2767563</v>
      </c>
      <c r="C157" s="68">
        <v>0</v>
      </c>
      <c r="D157" s="68">
        <v>2651013</v>
      </c>
      <c r="E157" s="68">
        <v>0</v>
      </c>
      <c r="F157" s="68">
        <v>2798542</v>
      </c>
      <c r="G157" s="68">
        <v>441600</v>
      </c>
      <c r="H157" s="68">
        <v>478173</v>
      </c>
      <c r="I157" s="68">
        <f t="shared" si="33"/>
        <v>147529</v>
      </c>
      <c r="J157" s="69">
        <f t="shared" si="34"/>
        <v>30979</v>
      </c>
    </row>
    <row r="158" spans="1:10" ht="15.75" customHeight="1">
      <c r="A158" s="74" t="s">
        <v>25</v>
      </c>
      <c r="B158" s="68">
        <f>691880+691812+691126+691507</f>
        <v>2766325</v>
      </c>
      <c r="C158" s="68">
        <v>0</v>
      </c>
      <c r="D158" s="68">
        <f>604290+677243+687923+737429</f>
        <v>2706885</v>
      </c>
      <c r="E158" s="68">
        <v>0</v>
      </c>
      <c r="F158" s="68">
        <f>667405+691774+775175+750430</f>
        <v>2884784</v>
      </c>
      <c r="G158" s="68">
        <f>113562+113562+113562+113562</f>
        <v>454248</v>
      </c>
      <c r="H158" s="68">
        <f>95465+91580+164735+135974</f>
        <v>487754</v>
      </c>
      <c r="I158" s="68">
        <f t="shared" si="33"/>
        <v>177899</v>
      </c>
      <c r="J158" s="69">
        <f t="shared" si="34"/>
        <v>118459</v>
      </c>
    </row>
    <row r="159" spans="1:10" ht="15.75" customHeight="1">
      <c r="A159" s="74" t="s">
        <v>27</v>
      </c>
      <c r="B159" s="68">
        <v>3180296</v>
      </c>
      <c r="C159" s="68">
        <f>8383*12</f>
        <v>100596</v>
      </c>
      <c r="D159" s="68">
        <f>3097795</f>
        <v>3097795</v>
      </c>
      <c r="E159" s="68">
        <v>101162</v>
      </c>
      <c r="F159" s="68">
        <v>3077852</v>
      </c>
      <c r="G159" s="68">
        <v>685200</v>
      </c>
      <c r="H159" s="68">
        <v>503418</v>
      </c>
      <c r="I159" s="68">
        <f t="shared" si="33"/>
        <v>-121105</v>
      </c>
      <c r="J159" s="69">
        <f t="shared" si="34"/>
        <v>-203040</v>
      </c>
    </row>
    <row r="160" spans="1:10" ht="15.75" customHeight="1" thickBot="1">
      <c r="A160" s="76" t="s">
        <v>33</v>
      </c>
      <c r="B160" s="70">
        <f>1573442+530049+296287.08+888861.24</f>
        <v>3288639.3200000003</v>
      </c>
      <c r="C160" s="70">
        <f>8383*8+6911.88*4</f>
        <v>94711.52</v>
      </c>
      <c r="D160" s="70">
        <f>1523885+503317+264614.32+886641.14</f>
        <v>3178457.46</v>
      </c>
      <c r="E160" s="70">
        <f>28145+9444+2009.93+19207.93</f>
        <v>58806.86</v>
      </c>
      <c r="F160" s="70">
        <f>1675307+723274+260159.29+936118.23</f>
        <v>3594858.52</v>
      </c>
      <c r="G160" s="70">
        <f>342600+114200+63750+191250</f>
        <v>711800</v>
      </c>
      <c r="H160" s="70">
        <f>330162+259609+45073.5+254258.85</f>
        <v>889103.35</v>
      </c>
      <c r="I160" s="70">
        <f t="shared" si="33"/>
        <v>357594.20000000007</v>
      </c>
      <c r="J160" s="72">
        <f t="shared" si="34"/>
        <v>211507.6799999997</v>
      </c>
    </row>
    <row r="161" spans="1:10" ht="15.75" customHeight="1" thickBot="1" thickTop="1">
      <c r="A161" s="7" t="s">
        <v>6</v>
      </c>
      <c r="B161" s="5">
        <f aca="true" t="shared" si="35" ref="B161:H161">SUM(B156:B160)</f>
        <v>14391323.32</v>
      </c>
      <c r="C161" s="5">
        <f t="shared" si="35"/>
        <v>195307.52000000002</v>
      </c>
      <c r="D161" s="5">
        <f t="shared" si="35"/>
        <v>14056589.46</v>
      </c>
      <c r="E161" s="5">
        <f t="shared" si="35"/>
        <v>159968.86</v>
      </c>
      <c r="F161" s="5">
        <f t="shared" si="35"/>
        <v>14944344.52</v>
      </c>
      <c r="G161" s="5">
        <f t="shared" si="35"/>
        <v>2674668</v>
      </c>
      <c r="H161" s="5">
        <f t="shared" si="35"/>
        <v>2923627.35</v>
      </c>
      <c r="I161" s="5">
        <f t="shared" si="33"/>
        <v>727786.1999999987</v>
      </c>
      <c r="J161" s="9">
        <f t="shared" si="34"/>
        <v>357713.67999999924</v>
      </c>
    </row>
    <row r="162" spans="1:10" ht="18.75" customHeight="1" thickTop="1">
      <c r="A162" s="1"/>
      <c r="B162" s="2"/>
      <c r="C162" s="2"/>
      <c r="D162" s="2"/>
      <c r="E162" s="2"/>
      <c r="F162" s="2"/>
      <c r="G162" s="2"/>
      <c r="H162" s="2"/>
      <c r="I162" s="10"/>
      <c r="J162" s="12"/>
    </row>
    <row r="163" spans="1:9" ht="18.75" customHeight="1" thickBot="1">
      <c r="A163" s="1"/>
      <c r="B163" s="87" t="s">
        <v>20</v>
      </c>
      <c r="C163" s="87"/>
      <c r="D163" s="88"/>
      <c r="E163" s="88"/>
      <c r="F163" s="88"/>
      <c r="G163" s="88"/>
      <c r="H163" s="88"/>
      <c r="I163" s="2"/>
    </row>
    <row r="164" spans="1:10" ht="18.75" customHeight="1" thickBot="1" thickTop="1">
      <c r="A164" s="84"/>
      <c r="B164" s="84" t="s">
        <v>0</v>
      </c>
      <c r="C164" s="85" t="s">
        <v>31</v>
      </c>
      <c r="D164" s="84" t="s">
        <v>1</v>
      </c>
      <c r="E164" s="85" t="s">
        <v>32</v>
      </c>
      <c r="F164" s="84" t="s">
        <v>2</v>
      </c>
      <c r="G164" s="84" t="s">
        <v>3</v>
      </c>
      <c r="H164" s="84"/>
      <c r="I164" s="84" t="s">
        <v>10</v>
      </c>
      <c r="J164" s="84" t="s">
        <v>24</v>
      </c>
    </row>
    <row r="165" spans="1:10" ht="18.75" customHeight="1" thickBot="1" thickTop="1">
      <c r="A165" s="84"/>
      <c r="B165" s="84"/>
      <c r="C165" s="86"/>
      <c r="D165" s="84"/>
      <c r="E165" s="86"/>
      <c r="F165" s="84"/>
      <c r="G165" s="3" t="s">
        <v>4</v>
      </c>
      <c r="H165" s="3" t="s">
        <v>5</v>
      </c>
      <c r="I165" s="84"/>
      <c r="J165" s="84"/>
    </row>
    <row r="166" spans="1:10" ht="15.75" customHeight="1" thickTop="1">
      <c r="A166" s="77" t="s">
        <v>9</v>
      </c>
      <c r="B166" s="66">
        <f>367112+33942</f>
        <v>401054</v>
      </c>
      <c r="C166" s="66">
        <v>0</v>
      </c>
      <c r="D166" s="66">
        <v>390386</v>
      </c>
      <c r="E166" s="66">
        <v>0</v>
      </c>
      <c r="F166" s="66">
        <v>420272</v>
      </c>
      <c r="G166" s="66">
        <v>93480</v>
      </c>
      <c r="H166" s="66">
        <v>115349</v>
      </c>
      <c r="I166" s="66">
        <f aca="true" t="shared" si="36" ref="I166:I172">F166-D166-E166</f>
        <v>29886</v>
      </c>
      <c r="J166" s="67">
        <f aca="true" t="shared" si="37" ref="J166:J172">F166-B166-C166</f>
        <v>19218</v>
      </c>
    </row>
    <row r="167" spans="1:10" ht="15.75" customHeight="1">
      <c r="A167" s="74" t="s">
        <v>8</v>
      </c>
      <c r="B167" s="68">
        <f>400267+39794</f>
        <v>440061</v>
      </c>
      <c r="C167" s="68">
        <v>0</v>
      </c>
      <c r="D167" s="68">
        <v>449440</v>
      </c>
      <c r="E167" s="68">
        <v>0</v>
      </c>
      <c r="F167" s="68">
        <v>497784</v>
      </c>
      <c r="G167" s="68">
        <v>76870</v>
      </c>
      <c r="H167" s="68">
        <v>121906</v>
      </c>
      <c r="I167" s="68">
        <f t="shared" si="36"/>
        <v>48344</v>
      </c>
      <c r="J167" s="69">
        <f t="shared" si="37"/>
        <v>57723</v>
      </c>
    </row>
    <row r="168" spans="1:10" ht="15.75" customHeight="1">
      <c r="A168" s="75" t="s">
        <v>7</v>
      </c>
      <c r="B168" s="68">
        <v>524736</v>
      </c>
      <c r="C168" s="68">
        <v>0</v>
      </c>
      <c r="D168" s="68">
        <v>483650</v>
      </c>
      <c r="E168" s="68">
        <v>0</v>
      </c>
      <c r="F168" s="68">
        <v>598635</v>
      </c>
      <c r="G168" s="68">
        <v>114600</v>
      </c>
      <c r="H168" s="68">
        <v>189070</v>
      </c>
      <c r="I168" s="68">
        <f t="shared" si="36"/>
        <v>114985</v>
      </c>
      <c r="J168" s="69">
        <f t="shared" si="37"/>
        <v>73899</v>
      </c>
    </row>
    <row r="169" spans="1:10" ht="15.75" customHeight="1">
      <c r="A169" s="74" t="s">
        <v>25</v>
      </c>
      <c r="B169" s="68">
        <f>131561+131561+131561+131561</f>
        <v>526244</v>
      </c>
      <c r="C169" s="68">
        <v>0</v>
      </c>
      <c r="D169" s="68">
        <f>116783+127280+132293+133084</f>
        <v>509440</v>
      </c>
      <c r="E169" s="68">
        <v>0</v>
      </c>
      <c r="F169" s="68">
        <f>133699+156770+151801+144260</f>
        <v>586530</v>
      </c>
      <c r="G169" s="68">
        <f>29643+29643+29643+29643</f>
        <v>118572</v>
      </c>
      <c r="H169" s="68">
        <f>32015+50505+47925+38665</f>
        <v>169110</v>
      </c>
      <c r="I169" s="68">
        <f t="shared" si="36"/>
        <v>77090</v>
      </c>
      <c r="J169" s="69">
        <f t="shared" si="37"/>
        <v>60286</v>
      </c>
    </row>
    <row r="170" spans="1:10" ht="15.75" customHeight="1">
      <c r="A170" s="74" t="s">
        <v>27</v>
      </c>
      <c r="B170" s="68">
        <v>604808</v>
      </c>
      <c r="C170" s="68">
        <f>1790*12</f>
        <v>21480</v>
      </c>
      <c r="D170" s="68">
        <f>571589</f>
        <v>571589</v>
      </c>
      <c r="E170" s="68">
        <v>24144</v>
      </c>
      <c r="F170" s="68">
        <v>602663</v>
      </c>
      <c r="G170" s="68">
        <v>168972</v>
      </c>
      <c r="H170" s="68">
        <v>149958</v>
      </c>
      <c r="I170" s="68">
        <f t="shared" si="36"/>
        <v>6930</v>
      </c>
      <c r="J170" s="69">
        <f t="shared" si="37"/>
        <v>-23625</v>
      </c>
    </row>
    <row r="171" spans="1:10" ht="15.75" customHeight="1" thickBot="1">
      <c r="A171" s="76" t="s">
        <v>33</v>
      </c>
      <c r="B171" s="70">
        <f>302403+100801+56369.6+169108.8</f>
        <v>628682.3999999999</v>
      </c>
      <c r="C171" s="70">
        <f>1790*8+1529.77*4</f>
        <v>20439.08</v>
      </c>
      <c r="D171" s="70">
        <f>280938+98604+44436.2+173155.87</f>
        <v>597134.0700000001</v>
      </c>
      <c r="E171" s="70">
        <f>4899+2488+596.84+4208.32</f>
        <v>12192.16</v>
      </c>
      <c r="F171" s="70">
        <f>346772+126533+38960.48+163634.13</f>
        <v>675899.61</v>
      </c>
      <c r="G171" s="70">
        <f>84486+28162+17060+51180</f>
        <v>180888</v>
      </c>
      <c r="H171" s="70">
        <f>98544+45293+2229.73+42776.23</f>
        <v>188842.96000000002</v>
      </c>
      <c r="I171" s="70">
        <f t="shared" si="36"/>
        <v>66573.37999999992</v>
      </c>
      <c r="J171" s="72">
        <f t="shared" si="37"/>
        <v>26778.130000000077</v>
      </c>
    </row>
    <row r="172" spans="1:10" ht="15.75" customHeight="1" thickBot="1" thickTop="1">
      <c r="A172" s="7" t="s">
        <v>6</v>
      </c>
      <c r="B172" s="5">
        <f aca="true" t="shared" si="38" ref="B172:H172">SUM(B166:B171)</f>
        <v>3125585.4</v>
      </c>
      <c r="C172" s="5">
        <f t="shared" si="38"/>
        <v>41919.08</v>
      </c>
      <c r="D172" s="5">
        <f t="shared" si="38"/>
        <v>3001639.0700000003</v>
      </c>
      <c r="E172" s="5">
        <f t="shared" si="38"/>
        <v>36336.16</v>
      </c>
      <c r="F172" s="5">
        <f t="shared" si="38"/>
        <v>3381783.61</v>
      </c>
      <c r="G172" s="5">
        <f t="shared" si="38"/>
        <v>753382</v>
      </c>
      <c r="H172" s="5">
        <f t="shared" si="38"/>
        <v>934235.96</v>
      </c>
      <c r="I172" s="5">
        <f t="shared" si="36"/>
        <v>343808.37999999954</v>
      </c>
      <c r="J172" s="9">
        <f t="shared" si="37"/>
        <v>214279.12999999995</v>
      </c>
    </row>
    <row r="173" spans="1:10" ht="18.75" customHeight="1" thickTop="1">
      <c r="A173" s="1"/>
      <c r="B173" s="2"/>
      <c r="C173" s="2"/>
      <c r="D173" s="2"/>
      <c r="E173" s="2"/>
      <c r="F173" s="2"/>
      <c r="G173" s="2"/>
      <c r="H173" s="2"/>
      <c r="I173" s="10"/>
      <c r="J173" s="12"/>
    </row>
    <row r="174" spans="1:9" ht="18.75" customHeight="1" thickBot="1">
      <c r="A174" s="1"/>
      <c r="B174" s="87" t="s">
        <v>21</v>
      </c>
      <c r="C174" s="87"/>
      <c r="D174" s="88"/>
      <c r="E174" s="88"/>
      <c r="F174" s="88"/>
      <c r="G174" s="88"/>
      <c r="H174" s="88"/>
      <c r="I174" s="2"/>
    </row>
    <row r="175" spans="1:10" ht="18.75" customHeight="1" thickBot="1" thickTop="1">
      <c r="A175" s="84"/>
      <c r="B175" s="84" t="s">
        <v>0</v>
      </c>
      <c r="C175" s="85" t="s">
        <v>31</v>
      </c>
      <c r="D175" s="84" t="s">
        <v>1</v>
      </c>
      <c r="E175" s="85" t="s">
        <v>32</v>
      </c>
      <c r="F175" s="84" t="s">
        <v>2</v>
      </c>
      <c r="G175" s="84" t="s">
        <v>3</v>
      </c>
      <c r="H175" s="84"/>
      <c r="I175" s="84" t="s">
        <v>52</v>
      </c>
      <c r="J175" s="84" t="s">
        <v>53</v>
      </c>
    </row>
    <row r="176" spans="1:10" ht="18.75" customHeight="1" thickBot="1" thickTop="1">
      <c r="A176" s="84"/>
      <c r="B176" s="84"/>
      <c r="C176" s="86"/>
      <c r="D176" s="84"/>
      <c r="E176" s="86"/>
      <c r="F176" s="84"/>
      <c r="G176" s="3" t="s">
        <v>4</v>
      </c>
      <c r="H176" s="3" t="s">
        <v>5</v>
      </c>
      <c r="I176" s="84"/>
      <c r="J176" s="84"/>
    </row>
    <row r="177" spans="1:10" ht="15.75" customHeight="1" thickTop="1">
      <c r="A177" s="77" t="s">
        <v>9</v>
      </c>
      <c r="B177" s="66">
        <f>1684954+210863</f>
        <v>1895817</v>
      </c>
      <c r="C177" s="66">
        <v>0</v>
      </c>
      <c r="D177" s="66">
        <v>1843974</v>
      </c>
      <c r="E177" s="66">
        <v>0</v>
      </c>
      <c r="F177" s="66">
        <v>1858179</v>
      </c>
      <c r="G177" s="66">
        <v>456480</v>
      </c>
      <c r="H177" s="66">
        <v>415542</v>
      </c>
      <c r="I177" s="66">
        <f aca="true" t="shared" si="39" ref="I177:I183">F177-D177-E177</f>
        <v>14205</v>
      </c>
      <c r="J177" s="67">
        <f aca="true" t="shared" si="40" ref="J177:J183">F177-B177-C177</f>
        <v>-37638</v>
      </c>
    </row>
    <row r="178" spans="1:10" ht="15.75" customHeight="1">
      <c r="A178" s="74" t="s">
        <v>8</v>
      </c>
      <c r="B178" s="68">
        <f>1915549+244828</f>
        <v>2160377</v>
      </c>
      <c r="C178" s="68">
        <v>0</v>
      </c>
      <c r="D178" s="68">
        <v>2128599</v>
      </c>
      <c r="E178" s="68">
        <v>0</v>
      </c>
      <c r="F178" s="68">
        <v>2171669</v>
      </c>
      <c r="G178" s="68">
        <v>528530</v>
      </c>
      <c r="H178" s="68">
        <v>530301</v>
      </c>
      <c r="I178" s="68">
        <f t="shared" si="39"/>
        <v>43070</v>
      </c>
      <c r="J178" s="69">
        <f t="shared" si="40"/>
        <v>11292</v>
      </c>
    </row>
    <row r="179" spans="1:10" ht="15.75" customHeight="1">
      <c r="A179" s="75" t="s">
        <v>7</v>
      </c>
      <c r="B179" s="68">
        <v>2494986</v>
      </c>
      <c r="C179" s="68">
        <v>0</v>
      </c>
      <c r="D179" s="68">
        <v>2420988</v>
      </c>
      <c r="E179" s="68">
        <v>0</v>
      </c>
      <c r="F179" s="68">
        <v>2441899</v>
      </c>
      <c r="G179" s="68">
        <v>610560</v>
      </c>
      <c r="H179" s="68">
        <v>553282</v>
      </c>
      <c r="I179" s="68">
        <f t="shared" si="39"/>
        <v>20911</v>
      </c>
      <c r="J179" s="69">
        <f t="shared" si="40"/>
        <v>-53087</v>
      </c>
    </row>
    <row r="180" spans="1:10" ht="15.75" customHeight="1">
      <c r="A180" s="74" t="s">
        <v>26</v>
      </c>
      <c r="B180" s="68">
        <f>623633+624062+624062+624062</f>
        <v>2495819</v>
      </c>
      <c r="C180" s="68">
        <v>0</v>
      </c>
      <c r="D180" s="68">
        <f>537753+579542+638931+694957</f>
        <v>2451183</v>
      </c>
      <c r="E180" s="68">
        <v>0</v>
      </c>
      <c r="F180" s="68">
        <f>567597+614258+610247+674698</f>
        <v>2466800</v>
      </c>
      <c r="G180" s="68">
        <f>147606+147606+147606+147606</f>
        <v>590424</v>
      </c>
      <c r="H180" s="68">
        <f>83351+126485+153774+201801</f>
        <v>565411</v>
      </c>
      <c r="I180" s="68">
        <f t="shared" si="39"/>
        <v>15617</v>
      </c>
      <c r="J180" s="69">
        <f t="shared" si="40"/>
        <v>-29019</v>
      </c>
    </row>
    <row r="181" spans="1:10" ht="15.75" customHeight="1">
      <c r="A181" s="74" t="s">
        <v>28</v>
      </c>
      <c r="B181" s="68">
        <v>2848522</v>
      </c>
      <c r="C181" s="68">
        <f>6918*12</f>
        <v>83016</v>
      </c>
      <c r="D181" s="68">
        <f>2819841</f>
        <v>2819841</v>
      </c>
      <c r="E181" s="68">
        <v>93323</v>
      </c>
      <c r="F181" s="68">
        <f>2590581</f>
        <v>2590581</v>
      </c>
      <c r="G181" s="68">
        <v>824208</v>
      </c>
      <c r="H181" s="68">
        <v>577507</v>
      </c>
      <c r="I181" s="68">
        <f t="shared" si="39"/>
        <v>-322583</v>
      </c>
      <c r="J181" s="69">
        <f t="shared" si="40"/>
        <v>-340957</v>
      </c>
    </row>
    <row r="182" spans="1:10" ht="15.75" customHeight="1" thickBot="1">
      <c r="A182" s="76" t="s">
        <v>33</v>
      </c>
      <c r="B182" s="70">
        <f>1429288+577189+268943.73+802997.67</f>
        <v>3078418.4</v>
      </c>
      <c r="C182" s="70">
        <f>6918*8+5412.58*4</f>
        <v>76994.32</v>
      </c>
      <c r="D182" s="70">
        <f>1516394+466967+231814.67+832740.66</f>
        <v>3047916.33</v>
      </c>
      <c r="E182" s="70">
        <f>18581+8710+1866.11+14765.01</f>
        <v>43922.12</v>
      </c>
      <c r="F182" s="70">
        <f>1384370+534565+177100.12+756986.7</f>
        <v>2853021.8200000003</v>
      </c>
      <c r="G182" s="70">
        <f>412104+137368+66240+198720</f>
        <v>814432</v>
      </c>
      <c r="H182" s="70">
        <f>264908+193026+8822.9+171982.26</f>
        <v>638739.16</v>
      </c>
      <c r="I182" s="70">
        <f t="shared" si="39"/>
        <v>-238816.62999999977</v>
      </c>
      <c r="J182" s="72">
        <f t="shared" si="40"/>
        <v>-302390.8999999996</v>
      </c>
    </row>
    <row r="183" spans="1:10" ht="15.75" customHeight="1" thickBot="1" thickTop="1">
      <c r="A183" s="7" t="s">
        <v>6</v>
      </c>
      <c r="B183" s="5">
        <f aca="true" t="shared" si="41" ref="B183:H183">SUM(B177:B182)</f>
        <v>14973939.4</v>
      </c>
      <c r="C183" s="5">
        <f t="shared" si="41"/>
        <v>160010.32</v>
      </c>
      <c r="D183" s="5">
        <f t="shared" si="41"/>
        <v>14712501.33</v>
      </c>
      <c r="E183" s="5">
        <f t="shared" si="41"/>
        <v>137245.12</v>
      </c>
      <c r="F183" s="5">
        <f t="shared" si="41"/>
        <v>14382149.82</v>
      </c>
      <c r="G183" s="5">
        <f t="shared" si="41"/>
        <v>3824634</v>
      </c>
      <c r="H183" s="5">
        <f t="shared" si="41"/>
        <v>3280782.16</v>
      </c>
      <c r="I183" s="5">
        <f t="shared" si="39"/>
        <v>-467596.6299999998</v>
      </c>
      <c r="J183" s="9">
        <f t="shared" si="40"/>
        <v>-751799.9000000001</v>
      </c>
    </row>
    <row r="184" spans="1:10" ht="18.75" customHeight="1" thickTop="1">
      <c r="A184" s="1"/>
      <c r="B184" s="2"/>
      <c r="C184" s="2"/>
      <c r="D184" s="2"/>
      <c r="E184" s="2"/>
      <c r="F184" s="2"/>
      <c r="G184" s="2"/>
      <c r="H184" s="2"/>
      <c r="I184" s="10"/>
      <c r="J184" s="12"/>
    </row>
    <row r="185" spans="1:9" ht="18.75" customHeight="1" thickBot="1">
      <c r="A185" s="1"/>
      <c r="B185" s="87" t="s">
        <v>22</v>
      </c>
      <c r="C185" s="87"/>
      <c r="D185" s="88"/>
      <c r="E185" s="88"/>
      <c r="F185" s="88"/>
      <c r="G185" s="88"/>
      <c r="H185" s="88"/>
      <c r="I185" s="2"/>
    </row>
    <row r="186" spans="1:10" ht="18" customHeight="1" thickBot="1" thickTop="1">
      <c r="A186" s="84"/>
      <c r="B186" s="84" t="s">
        <v>0</v>
      </c>
      <c r="C186" s="85" t="s">
        <v>31</v>
      </c>
      <c r="D186" s="84" t="s">
        <v>1</v>
      </c>
      <c r="E186" s="85" t="s">
        <v>32</v>
      </c>
      <c r="F186" s="84" t="s">
        <v>2</v>
      </c>
      <c r="G186" s="84" t="s">
        <v>3</v>
      </c>
      <c r="H186" s="84"/>
      <c r="I186" s="84" t="s">
        <v>52</v>
      </c>
      <c r="J186" s="84" t="s">
        <v>53</v>
      </c>
    </row>
    <row r="187" spans="1:10" ht="18" customHeight="1" thickBot="1" thickTop="1">
      <c r="A187" s="84"/>
      <c r="B187" s="84"/>
      <c r="C187" s="86"/>
      <c r="D187" s="84"/>
      <c r="E187" s="86"/>
      <c r="F187" s="84"/>
      <c r="G187" s="3" t="s">
        <v>4</v>
      </c>
      <c r="H187" s="3" t="s">
        <v>5</v>
      </c>
      <c r="I187" s="84"/>
      <c r="J187" s="84"/>
    </row>
    <row r="188" spans="1:10" ht="15.75" customHeight="1" thickTop="1">
      <c r="A188" s="77" t="s">
        <v>9</v>
      </c>
      <c r="B188" s="66">
        <f>364866+36006</f>
        <v>400872</v>
      </c>
      <c r="C188" s="66">
        <v>0</v>
      </c>
      <c r="D188" s="66">
        <v>392301</v>
      </c>
      <c r="E188" s="66">
        <v>0</v>
      </c>
      <c r="F188" s="66">
        <v>405736</v>
      </c>
      <c r="G188" s="66">
        <v>103440</v>
      </c>
      <c r="H188" s="66">
        <v>109397</v>
      </c>
      <c r="I188" s="66">
        <f aca="true" t="shared" si="42" ref="I188:I194">F188-D188-E188</f>
        <v>13435</v>
      </c>
      <c r="J188" s="67">
        <f aca="true" t="shared" si="43" ref="J188:J193">F188-B188-C188</f>
        <v>4864</v>
      </c>
    </row>
    <row r="189" spans="1:10" ht="15.75" customHeight="1">
      <c r="A189" s="74" t="s">
        <v>8</v>
      </c>
      <c r="B189" s="68">
        <f>410213+39774</f>
        <v>449987</v>
      </c>
      <c r="C189" s="68">
        <v>0</v>
      </c>
      <c r="D189" s="68">
        <v>445671</v>
      </c>
      <c r="E189" s="68">
        <v>0</v>
      </c>
      <c r="F189" s="68">
        <v>497784</v>
      </c>
      <c r="G189" s="68">
        <v>79790</v>
      </c>
      <c r="H189" s="68">
        <v>121115</v>
      </c>
      <c r="I189" s="68">
        <f t="shared" si="42"/>
        <v>52113</v>
      </c>
      <c r="J189" s="69">
        <f t="shared" si="43"/>
        <v>47797</v>
      </c>
    </row>
    <row r="190" spans="1:10" ht="15.75" customHeight="1">
      <c r="A190" s="75" t="s">
        <v>7</v>
      </c>
      <c r="B190" s="68">
        <v>518800</v>
      </c>
      <c r="C190" s="68">
        <v>0</v>
      </c>
      <c r="D190" s="68">
        <v>516091</v>
      </c>
      <c r="E190" s="68">
        <v>0</v>
      </c>
      <c r="F190" s="68">
        <v>572618</v>
      </c>
      <c r="G190" s="68">
        <v>115080</v>
      </c>
      <c r="H190" s="68">
        <v>168647</v>
      </c>
      <c r="I190" s="68">
        <f t="shared" si="42"/>
        <v>56527</v>
      </c>
      <c r="J190" s="69">
        <f t="shared" si="43"/>
        <v>53818</v>
      </c>
    </row>
    <row r="191" spans="1:10" ht="15.75" customHeight="1">
      <c r="A191" s="74" t="s">
        <v>26</v>
      </c>
      <c r="B191" s="68">
        <f>129700+129700+129700+129700</f>
        <v>518800</v>
      </c>
      <c r="C191" s="68">
        <v>0</v>
      </c>
      <c r="D191" s="68">
        <f>121801+126686+134739+142790</f>
        <v>526016</v>
      </c>
      <c r="E191" s="68">
        <v>0</v>
      </c>
      <c r="F191" s="68">
        <f>137679+146867+193549+214213</f>
        <v>692308</v>
      </c>
      <c r="G191" s="68">
        <f>29373+29373+29373+29373</f>
        <v>117492</v>
      </c>
      <c r="H191" s="68">
        <f>34038+39995+87945+99316</f>
        <v>261294</v>
      </c>
      <c r="I191" s="68">
        <f t="shared" si="42"/>
        <v>166292</v>
      </c>
      <c r="J191" s="69">
        <f t="shared" si="43"/>
        <v>173508</v>
      </c>
    </row>
    <row r="192" spans="1:10" ht="15.75" customHeight="1">
      <c r="A192" s="74" t="s">
        <v>28</v>
      </c>
      <c r="B192" s="68">
        <f>596252</f>
        <v>596252</v>
      </c>
      <c r="C192" s="68">
        <f>1764*12</f>
        <v>21168</v>
      </c>
      <c r="D192" s="68">
        <f>583139</f>
        <v>583139</v>
      </c>
      <c r="E192" s="68">
        <v>23803</v>
      </c>
      <c r="F192" s="68">
        <v>577329</v>
      </c>
      <c r="G192" s="68">
        <v>168648</v>
      </c>
      <c r="H192" s="68">
        <v>130205</v>
      </c>
      <c r="I192" s="68">
        <f t="shared" si="42"/>
        <v>-29613</v>
      </c>
      <c r="J192" s="69">
        <f t="shared" si="43"/>
        <v>-40091</v>
      </c>
    </row>
    <row r="193" spans="1:10" ht="15.75" customHeight="1" thickBot="1">
      <c r="A193" s="76" t="s">
        <v>33</v>
      </c>
      <c r="B193" s="70">
        <f>290975+99375+55572.19+166716.57</f>
        <v>612638.76</v>
      </c>
      <c r="C193" s="70">
        <f>1764*8+1904.56*4</f>
        <v>21730.239999999998</v>
      </c>
      <c r="D193" s="70">
        <f>283944+101486+43115.85+174975.95</f>
        <v>603521.8</v>
      </c>
      <c r="E193" s="70">
        <f>6012+2469+590.57+6480.09</f>
        <v>15551.66</v>
      </c>
      <c r="F193" s="70">
        <f>306112+98954+39419.46+154107.97</f>
        <v>598593.43</v>
      </c>
      <c r="G193" s="70">
        <f>84324+28108+14220+42660</f>
        <v>169312</v>
      </c>
      <c r="H193" s="70">
        <f>76224+21182+4866.18+23772.58</f>
        <v>126044.76</v>
      </c>
      <c r="I193" s="70">
        <f t="shared" si="42"/>
        <v>-20480.029999999995</v>
      </c>
      <c r="J193" s="72">
        <f t="shared" si="43"/>
        <v>-35775.569999999956</v>
      </c>
    </row>
    <row r="194" spans="1:10" ht="15.75" customHeight="1" thickBot="1" thickTop="1">
      <c r="A194" s="7" t="s">
        <v>6</v>
      </c>
      <c r="B194" s="5">
        <f aca="true" t="shared" si="44" ref="B194:H194">SUM(B188:B193)</f>
        <v>3097349.76</v>
      </c>
      <c r="C194" s="5">
        <f t="shared" si="44"/>
        <v>42898.24</v>
      </c>
      <c r="D194" s="5">
        <f t="shared" si="44"/>
        <v>3066739.8</v>
      </c>
      <c r="E194" s="5">
        <f t="shared" si="44"/>
        <v>39354.66</v>
      </c>
      <c r="F194" s="5">
        <f t="shared" si="44"/>
        <v>3344368.43</v>
      </c>
      <c r="G194" s="5">
        <f t="shared" si="44"/>
        <v>753762</v>
      </c>
      <c r="H194" s="5">
        <f t="shared" si="44"/>
        <v>916702.76</v>
      </c>
      <c r="I194" s="5">
        <f t="shared" si="42"/>
        <v>238273.97000000035</v>
      </c>
      <c r="J194" s="9">
        <f>F194-B194-C194</f>
        <v>204120.4300000004</v>
      </c>
    </row>
    <row r="195" spans="1:10" ht="15.75" customHeight="1" thickTop="1">
      <c r="A195" s="1"/>
      <c r="B195" s="2"/>
      <c r="C195" s="2"/>
      <c r="D195" s="2"/>
      <c r="E195" s="2"/>
      <c r="F195" s="2"/>
      <c r="G195" s="2"/>
      <c r="H195" s="2"/>
      <c r="I195" s="2"/>
      <c r="J195" s="12"/>
    </row>
    <row r="196" spans="1:10" ht="18.75" customHeight="1">
      <c r="A196" s="1"/>
      <c r="B196" s="2"/>
      <c r="C196" s="2"/>
      <c r="D196" s="2"/>
      <c r="E196" s="2"/>
      <c r="F196" s="2"/>
      <c r="G196" s="2"/>
      <c r="H196" s="2"/>
      <c r="I196" s="2"/>
      <c r="J196" s="12"/>
    </row>
    <row r="197" spans="1:9" ht="18.75" customHeight="1" thickBot="1">
      <c r="A197" s="1"/>
      <c r="B197" s="87" t="s">
        <v>23</v>
      </c>
      <c r="C197" s="87"/>
      <c r="D197" s="88"/>
      <c r="E197" s="88"/>
      <c r="F197" s="88"/>
      <c r="G197" s="88"/>
      <c r="H197" s="88"/>
      <c r="I197" s="2"/>
    </row>
    <row r="198" spans="1:10" ht="18.75" customHeight="1" thickBot="1" thickTop="1">
      <c r="A198" s="84"/>
      <c r="B198" s="84" t="s">
        <v>0</v>
      </c>
      <c r="C198" s="85" t="s">
        <v>31</v>
      </c>
      <c r="D198" s="84" t="s">
        <v>1</v>
      </c>
      <c r="E198" s="85" t="s">
        <v>32</v>
      </c>
      <c r="F198" s="84" t="s">
        <v>2</v>
      </c>
      <c r="G198" s="84" t="s">
        <v>3</v>
      </c>
      <c r="H198" s="84"/>
      <c r="I198" s="84" t="s">
        <v>52</v>
      </c>
      <c r="J198" s="84" t="s">
        <v>53</v>
      </c>
    </row>
    <row r="199" spans="1:10" ht="18.75" customHeight="1" thickBot="1" thickTop="1">
      <c r="A199" s="84"/>
      <c r="B199" s="84"/>
      <c r="C199" s="86"/>
      <c r="D199" s="84"/>
      <c r="E199" s="86"/>
      <c r="F199" s="84"/>
      <c r="G199" s="3" t="s">
        <v>4</v>
      </c>
      <c r="H199" s="3" t="s">
        <v>5</v>
      </c>
      <c r="I199" s="84"/>
      <c r="J199" s="84"/>
    </row>
    <row r="200" spans="1:10" ht="15.75" customHeight="1" thickTop="1">
      <c r="A200" s="77" t="s">
        <v>9</v>
      </c>
      <c r="B200" s="66">
        <f>1740307+203314</f>
        <v>1943621</v>
      </c>
      <c r="C200" s="66">
        <v>0</v>
      </c>
      <c r="D200" s="66">
        <v>1913733</v>
      </c>
      <c r="E200" s="66">
        <v>0</v>
      </c>
      <c r="F200" s="66">
        <v>1961607</v>
      </c>
      <c r="G200" s="66">
        <v>468600</v>
      </c>
      <c r="H200" s="66">
        <v>462435</v>
      </c>
      <c r="I200" s="66">
        <f aca="true" t="shared" si="45" ref="I200:I206">F200-D200-E200</f>
        <v>47874</v>
      </c>
      <c r="J200" s="67">
        <f aca="true" t="shared" si="46" ref="J200:J206">F200-B200-C200</f>
        <v>17986</v>
      </c>
    </row>
    <row r="201" spans="1:26" ht="15.75" customHeight="1">
      <c r="A201" s="74" t="s">
        <v>8</v>
      </c>
      <c r="B201" s="68">
        <f>1987834+231319</f>
        <v>2219153</v>
      </c>
      <c r="C201" s="68">
        <v>0</v>
      </c>
      <c r="D201" s="68">
        <v>2164364</v>
      </c>
      <c r="E201" s="68">
        <v>0</v>
      </c>
      <c r="F201" s="68">
        <v>2305315</v>
      </c>
      <c r="G201" s="68">
        <v>532070</v>
      </c>
      <c r="H201" s="68">
        <v>605745</v>
      </c>
      <c r="I201" s="68">
        <f t="shared" si="45"/>
        <v>140951</v>
      </c>
      <c r="J201" s="69">
        <f t="shared" si="46"/>
        <v>86162</v>
      </c>
      <c r="Q201" s="1"/>
      <c r="R201" s="1"/>
      <c r="S201" s="1"/>
      <c r="T201" s="2"/>
      <c r="U201" s="2"/>
      <c r="V201" s="2"/>
      <c r="W201" s="2"/>
      <c r="X201" s="2"/>
      <c r="Y201" s="2"/>
      <c r="Z201" s="2"/>
    </row>
    <row r="202" spans="1:10" ht="15.75" customHeight="1">
      <c r="A202" s="75" t="s">
        <v>7</v>
      </c>
      <c r="B202" s="68">
        <v>2565003</v>
      </c>
      <c r="C202" s="68">
        <v>0</v>
      </c>
      <c r="D202" s="68">
        <v>2539969</v>
      </c>
      <c r="E202" s="68">
        <v>0</v>
      </c>
      <c r="F202" s="68">
        <v>2398959</v>
      </c>
      <c r="G202" s="68">
        <v>631200</v>
      </c>
      <c r="H202" s="68">
        <v>456331</v>
      </c>
      <c r="I202" s="68">
        <f t="shared" si="45"/>
        <v>-141010</v>
      </c>
      <c r="J202" s="69">
        <f t="shared" si="46"/>
        <v>-166044</v>
      </c>
    </row>
    <row r="203" spans="1:10" ht="15.75" customHeight="1">
      <c r="A203" s="74" t="s">
        <v>25</v>
      </c>
      <c r="B203" s="68">
        <f>642547+642547+642547+641379</f>
        <v>2569020</v>
      </c>
      <c r="C203" s="68">
        <v>0</v>
      </c>
      <c r="D203" s="68">
        <f>571240+618135+649226+670855</f>
        <v>2509456</v>
      </c>
      <c r="E203" s="68">
        <v>0</v>
      </c>
      <c r="F203" s="68">
        <f>609540+772931+631298+1079006</f>
        <v>3092775</v>
      </c>
      <c r="G203" s="68">
        <f>155373+155373+155373+155373</f>
        <v>621492</v>
      </c>
      <c r="H203" s="68">
        <f>126391+266244+135998+512102</f>
        <v>1040735</v>
      </c>
      <c r="I203" s="68">
        <f t="shared" si="45"/>
        <v>583319</v>
      </c>
      <c r="J203" s="69">
        <f t="shared" si="46"/>
        <v>523755</v>
      </c>
    </row>
    <row r="204" spans="1:10" ht="15.75" customHeight="1">
      <c r="A204" s="74" t="s">
        <v>27</v>
      </c>
      <c r="B204" s="68">
        <f>738676+738676+738676+738676</f>
        <v>2954704</v>
      </c>
      <c r="C204" s="68">
        <f>6967*12</f>
        <v>83604</v>
      </c>
      <c r="D204" s="68">
        <v>2891343</v>
      </c>
      <c r="E204" s="68">
        <v>93986</v>
      </c>
      <c r="F204" s="68">
        <f>674003+632265+681403+695473</f>
        <v>2683144</v>
      </c>
      <c r="G204" s="68">
        <f>124182+124182+124182+124182</f>
        <v>496728</v>
      </c>
      <c r="H204" s="68">
        <f>97540+93017+168130+126823</f>
        <v>485510</v>
      </c>
      <c r="I204" s="68">
        <f t="shared" si="45"/>
        <v>-302185</v>
      </c>
      <c r="J204" s="69">
        <f t="shared" si="46"/>
        <v>-355164</v>
      </c>
    </row>
    <row r="205" spans="1:10" ht="15.75" customHeight="1" thickBot="1">
      <c r="A205" s="76" t="s">
        <v>33</v>
      </c>
      <c r="B205" s="70">
        <f>1477351+492450+275264.23+825792.69</f>
        <v>3070857.92</v>
      </c>
      <c r="C205" s="70">
        <f>6967*8+5442.1*4</f>
        <v>77504.4</v>
      </c>
      <c r="D205" s="70">
        <f>1415381+477529+249708.18+847881.75</f>
        <v>2990499.93</v>
      </c>
      <c r="E205" s="70">
        <f>18665+8747+1878.27+14843.13</f>
        <v>44133.4</v>
      </c>
      <c r="F205" s="70">
        <f>1439862+459901+199122.05+973943.94</f>
        <v>3072828.9899999998</v>
      </c>
      <c r="G205" s="70">
        <f>383556+127852+64470+193410</f>
        <v>769288</v>
      </c>
      <c r="H205" s="70">
        <f>300505+90025+19674.47+321573.17</f>
        <v>731777.6399999999</v>
      </c>
      <c r="I205" s="70">
        <f t="shared" si="45"/>
        <v>38195.65999999959</v>
      </c>
      <c r="J205" s="72">
        <f t="shared" si="46"/>
        <v>-75533.33000000016</v>
      </c>
    </row>
    <row r="206" spans="1:10" ht="15.75" customHeight="1" thickBot="1" thickTop="1">
      <c r="A206" s="7" t="s">
        <v>6</v>
      </c>
      <c r="B206" s="5">
        <f aca="true" t="shared" si="47" ref="B206:H206">SUM(B200:B205)</f>
        <v>15322358.92</v>
      </c>
      <c r="C206" s="5">
        <f t="shared" si="47"/>
        <v>161108.4</v>
      </c>
      <c r="D206" s="5">
        <f t="shared" si="47"/>
        <v>15009364.93</v>
      </c>
      <c r="E206" s="5">
        <f t="shared" si="47"/>
        <v>138119.4</v>
      </c>
      <c r="F206" s="5">
        <f t="shared" si="47"/>
        <v>15514628.99</v>
      </c>
      <c r="G206" s="5">
        <f t="shared" si="47"/>
        <v>3519378</v>
      </c>
      <c r="H206" s="5">
        <f t="shared" si="47"/>
        <v>3782533.6399999997</v>
      </c>
      <c r="I206" s="5">
        <f t="shared" si="45"/>
        <v>367144.6600000005</v>
      </c>
      <c r="J206" s="9">
        <f t="shared" si="46"/>
        <v>31161.670000000304</v>
      </c>
    </row>
    <row r="207" spans="1:10" ht="18.75" customHeight="1" thickTop="1">
      <c r="A207" s="1"/>
      <c r="B207" s="2"/>
      <c r="C207" s="2"/>
      <c r="D207" s="2"/>
      <c r="E207" s="2"/>
      <c r="F207" s="2"/>
      <c r="G207" s="2"/>
      <c r="H207" s="2"/>
      <c r="I207" s="2"/>
      <c r="J207" s="12"/>
    </row>
    <row r="208" spans="1:9" s="14" customFormat="1" ht="18.75" customHeight="1">
      <c r="A208"/>
      <c r="B208" s="1"/>
      <c r="C208" s="87" t="s">
        <v>48</v>
      </c>
      <c r="D208" s="87"/>
      <c r="E208" s="87"/>
      <c r="F208" s="87"/>
      <c r="G208" s="81"/>
      <c r="H208" s="2"/>
      <c r="I208" s="17"/>
    </row>
    <row r="209" spans="1:10" s="14" customFormat="1" ht="18.75" customHeight="1" thickBot="1">
      <c r="A209"/>
      <c r="B209" s="1"/>
      <c r="C209" s="2"/>
      <c r="D209" s="2"/>
      <c r="E209" s="2"/>
      <c r="F209" s="2"/>
      <c r="G209" s="2"/>
      <c r="H209" s="2"/>
      <c r="I209" s="83"/>
      <c r="J209" s="82"/>
    </row>
    <row r="210" spans="1:10" s="14" customFormat="1" ht="18.75" customHeight="1" thickBot="1" thickTop="1">
      <c r="A210" s="84" t="s">
        <v>36</v>
      </c>
      <c r="B210" s="84"/>
      <c r="C210" s="84" t="s">
        <v>0</v>
      </c>
      <c r="D210" s="84" t="s">
        <v>1</v>
      </c>
      <c r="E210" s="84" t="s">
        <v>2</v>
      </c>
      <c r="F210" s="84" t="s">
        <v>3</v>
      </c>
      <c r="G210" s="84"/>
      <c r="H210" s="84" t="s">
        <v>10</v>
      </c>
      <c r="I210" s="84" t="s">
        <v>24</v>
      </c>
      <c r="J210" s="82"/>
    </row>
    <row r="211" spans="1:10" s="14" customFormat="1" ht="18.75" customHeight="1" thickBot="1" thickTop="1">
      <c r="A211" s="84"/>
      <c r="B211" s="84"/>
      <c r="C211" s="84"/>
      <c r="D211" s="84"/>
      <c r="E211" s="84"/>
      <c r="F211" s="3" t="s">
        <v>4</v>
      </c>
      <c r="G211" s="3" t="s">
        <v>5</v>
      </c>
      <c r="H211" s="84"/>
      <c r="I211" s="84"/>
      <c r="J211" s="82"/>
    </row>
    <row r="212" spans="1:10" s="14" customFormat="1" ht="15.75" customHeight="1" thickTop="1">
      <c r="A212" s="77" t="s">
        <v>49</v>
      </c>
      <c r="B212" s="77"/>
      <c r="C212" s="66">
        <v>867083.25</v>
      </c>
      <c r="D212" s="66">
        <v>861253.75</v>
      </c>
      <c r="E212" s="66">
        <v>978611.37</v>
      </c>
      <c r="F212" s="66">
        <v>159450</v>
      </c>
      <c r="G212" s="66">
        <v>264620.09</v>
      </c>
      <c r="H212" s="66">
        <f>E212-D212</f>
        <v>117357.62</v>
      </c>
      <c r="I212" s="66">
        <f>E212-C212</f>
        <v>111528.12</v>
      </c>
      <c r="J212" s="82"/>
    </row>
    <row r="213" spans="1:10" s="14" customFormat="1" ht="15.75" customHeight="1">
      <c r="A213" s="74" t="s">
        <v>39</v>
      </c>
      <c r="B213" s="74"/>
      <c r="C213" s="68">
        <v>1084604.42</v>
      </c>
      <c r="D213" s="68">
        <v>1069245.77</v>
      </c>
      <c r="E213" s="68">
        <v>1157349.27</v>
      </c>
      <c r="F213" s="68">
        <v>167770</v>
      </c>
      <c r="G213" s="68">
        <v>245492.74</v>
      </c>
      <c r="H213" s="68">
        <f aca="true" t="shared" si="48" ref="H213:H218">E213-D213</f>
        <v>88103.5</v>
      </c>
      <c r="I213" s="68">
        <f aca="true" t="shared" si="49" ref="I213:I218">E213-C213</f>
        <v>72744.8500000001</v>
      </c>
      <c r="J213" s="82"/>
    </row>
    <row r="214" spans="1:10" s="14" customFormat="1" ht="15.75" customHeight="1">
      <c r="A214" s="74" t="s">
        <v>40</v>
      </c>
      <c r="B214" s="74"/>
      <c r="C214" s="68">
        <v>1246117.91</v>
      </c>
      <c r="D214" s="68">
        <v>1210170.78</v>
      </c>
      <c r="E214" s="68">
        <v>1186369.12</v>
      </c>
      <c r="F214" s="68">
        <v>201000</v>
      </c>
      <c r="G214" s="68">
        <v>151745.35</v>
      </c>
      <c r="H214" s="68">
        <f t="shared" si="48"/>
        <v>-23801.659999999916</v>
      </c>
      <c r="I214" s="68">
        <f t="shared" si="49"/>
        <v>-59748.789999999804</v>
      </c>
      <c r="J214" s="82"/>
    </row>
    <row r="215" spans="1:10" s="14" customFormat="1" ht="15.75" customHeight="1">
      <c r="A215" s="74" t="s">
        <v>41</v>
      </c>
      <c r="B215" s="74"/>
      <c r="C215" s="68">
        <v>1252260.86</v>
      </c>
      <c r="D215" s="68">
        <v>1268076.92</v>
      </c>
      <c r="E215" s="68">
        <v>1248049.09</v>
      </c>
      <c r="F215" s="68">
        <v>191040</v>
      </c>
      <c r="G215" s="68">
        <v>195484.69</v>
      </c>
      <c r="H215" s="68">
        <f t="shared" si="48"/>
        <v>-20027.82999999984</v>
      </c>
      <c r="I215" s="68">
        <f t="shared" si="49"/>
        <v>-4211.770000000019</v>
      </c>
      <c r="J215" s="82"/>
    </row>
    <row r="216" spans="1:10" s="14" customFormat="1" ht="15.75" customHeight="1">
      <c r="A216" s="74" t="s">
        <v>42</v>
      </c>
      <c r="B216" s="74"/>
      <c r="C216" s="68">
        <v>1434282.51</v>
      </c>
      <c r="D216" s="68">
        <v>1370357.88</v>
      </c>
      <c r="E216" s="68">
        <v>1283238.58</v>
      </c>
      <c r="F216" s="68">
        <v>228960</v>
      </c>
      <c r="G216" s="68">
        <v>152666.33</v>
      </c>
      <c r="H216" s="68">
        <f t="shared" si="48"/>
        <v>-87119.29999999981</v>
      </c>
      <c r="I216" s="68">
        <f t="shared" si="49"/>
        <v>-151043.92999999993</v>
      </c>
      <c r="J216" s="82"/>
    </row>
    <row r="217" spans="1:10" ht="15.75" customHeight="1" thickBot="1">
      <c r="A217" s="76" t="s">
        <v>43</v>
      </c>
      <c r="B217" s="76"/>
      <c r="C217" s="70">
        <f>836987.62+119569.66+133712.93+401138.79</f>
        <v>1491409</v>
      </c>
      <c r="D217" s="70">
        <f>837287.23+108938.9+122047.37+445939.06</f>
        <v>1514212.56</v>
      </c>
      <c r="E217" s="70">
        <f>815849.09+111924.9+187540.62+400785.24</f>
        <v>1516099.8499999999</v>
      </c>
      <c r="F217" s="70">
        <f>133560+19080+16320+48960</f>
        <v>217920</v>
      </c>
      <c r="G217" s="70">
        <f>142934.9+12871.62+74404.53+40276.98</f>
        <v>270488.02999999997</v>
      </c>
      <c r="H217" s="70">
        <f t="shared" si="48"/>
        <v>1887.2899999998044</v>
      </c>
      <c r="I217" s="70">
        <f t="shared" si="49"/>
        <v>24690.84999999986</v>
      </c>
      <c r="J217" s="12"/>
    </row>
    <row r="218" spans="1:10" ht="22.5" customHeight="1" thickBot="1" thickTop="1">
      <c r="A218" s="89" t="s">
        <v>6</v>
      </c>
      <c r="B218" s="89"/>
      <c r="C218" s="5">
        <f>SUM(C212:C217)</f>
        <v>7375757.95</v>
      </c>
      <c r="D218" s="5">
        <f>SUM(D212:D217)</f>
        <v>7293317.66</v>
      </c>
      <c r="E218" s="5">
        <f>SUM(E212:E217)</f>
        <v>7369717.28</v>
      </c>
      <c r="F218" s="5">
        <f>SUM(F212:F217)</f>
        <v>1166140</v>
      </c>
      <c r="G218" s="5">
        <f>SUM(G212:G217)</f>
        <v>1280497.23</v>
      </c>
      <c r="H218" s="5">
        <f t="shared" si="48"/>
        <v>76399.62000000011</v>
      </c>
      <c r="I218" s="5">
        <f t="shared" si="49"/>
        <v>-6040.6699999999255</v>
      </c>
      <c r="J218" s="12"/>
    </row>
    <row r="219" ht="22.5" customHeight="1" thickTop="1">
      <c r="J219" s="12"/>
    </row>
    <row r="220" spans="1:10" ht="22.5" customHeight="1">
      <c r="A220" s="1"/>
      <c r="B220" s="2"/>
      <c r="C220" s="2"/>
      <c r="D220" s="2"/>
      <c r="E220" s="2"/>
      <c r="F220" s="2"/>
      <c r="G220" s="2"/>
      <c r="H220" s="2"/>
      <c r="I220" s="10"/>
      <c r="J220" s="12"/>
    </row>
    <row r="221" spans="1:10" ht="22.5" customHeight="1">
      <c r="A221" s="1"/>
      <c r="B221" s="2"/>
      <c r="C221" s="2"/>
      <c r="D221" s="2"/>
      <c r="E221" s="2"/>
      <c r="F221" s="2"/>
      <c r="G221" s="2"/>
      <c r="H221" s="2"/>
      <c r="I221" s="10"/>
      <c r="J221" s="12"/>
    </row>
    <row r="222" spans="1:10" ht="22.5" customHeight="1">
      <c r="A222" s="1"/>
      <c r="B222" s="2"/>
      <c r="C222" s="2"/>
      <c r="D222" s="2"/>
      <c r="E222" s="2"/>
      <c r="F222" s="2"/>
      <c r="G222" s="2"/>
      <c r="H222" s="2"/>
      <c r="I222" s="10"/>
      <c r="J222" s="12"/>
    </row>
    <row r="223" spans="1:10" ht="22.5" customHeight="1">
      <c r="A223" s="1"/>
      <c r="B223" s="2"/>
      <c r="C223" s="2"/>
      <c r="D223" s="2"/>
      <c r="E223" s="2"/>
      <c r="F223" s="2"/>
      <c r="G223" s="2"/>
      <c r="H223" s="2"/>
      <c r="I223" s="10"/>
      <c r="J223" s="12"/>
    </row>
    <row r="224" spans="1:10" ht="22.5" customHeight="1">
      <c r="A224" s="1"/>
      <c r="B224" s="2"/>
      <c r="C224" s="2"/>
      <c r="D224" s="2"/>
      <c r="E224" s="2"/>
      <c r="F224" s="2"/>
      <c r="G224" s="2"/>
      <c r="H224" s="2"/>
      <c r="I224" s="10"/>
      <c r="J224" s="12"/>
    </row>
    <row r="225" spans="2:3" ht="15.75" customHeight="1">
      <c r="B225" s="13"/>
      <c r="C225" s="13"/>
    </row>
    <row r="227" ht="12.75">
      <c r="J227" s="11"/>
    </row>
  </sheetData>
  <mergeCells count="183">
    <mergeCell ref="E164:E165"/>
    <mergeCell ref="E175:E176"/>
    <mergeCell ref="C106:C107"/>
    <mergeCell ref="D106:D107"/>
    <mergeCell ref="E106:E107"/>
    <mergeCell ref="D130:D131"/>
    <mergeCell ref="E130:E131"/>
    <mergeCell ref="D141:G141"/>
    <mergeCell ref="B71:H71"/>
    <mergeCell ref="G72:H72"/>
    <mergeCell ref="B117:H117"/>
    <mergeCell ref="G118:H118"/>
    <mergeCell ref="B94:H94"/>
    <mergeCell ref="G95:H95"/>
    <mergeCell ref="C118:C119"/>
    <mergeCell ref="B95:B96"/>
    <mergeCell ref="C95:C96"/>
    <mergeCell ref="F95:F96"/>
    <mergeCell ref="A12:B12"/>
    <mergeCell ref="A15:B16"/>
    <mergeCell ref="A3:B4"/>
    <mergeCell ref="D2:G2"/>
    <mergeCell ref="C3:C4"/>
    <mergeCell ref="D3:D4"/>
    <mergeCell ref="E3:E4"/>
    <mergeCell ref="F3:G3"/>
    <mergeCell ref="J50:J51"/>
    <mergeCell ref="E39:E40"/>
    <mergeCell ref="A39:A40"/>
    <mergeCell ref="B39:B40"/>
    <mergeCell ref="D39:D40"/>
    <mergeCell ref="F39:F40"/>
    <mergeCell ref="C39:C40"/>
    <mergeCell ref="C50:C51"/>
    <mergeCell ref="I50:I51"/>
    <mergeCell ref="B49:H49"/>
    <mergeCell ref="I28:I29"/>
    <mergeCell ref="J28:J29"/>
    <mergeCell ref="B38:H38"/>
    <mergeCell ref="G39:H39"/>
    <mergeCell ref="I39:I40"/>
    <mergeCell ref="J39:J40"/>
    <mergeCell ref="B28:B29"/>
    <mergeCell ref="D28:D29"/>
    <mergeCell ref="F28:F29"/>
    <mergeCell ref="G28:H28"/>
    <mergeCell ref="J61:J62"/>
    <mergeCell ref="A50:A51"/>
    <mergeCell ref="J72:J73"/>
    <mergeCell ref="E50:E51"/>
    <mergeCell ref="B60:H60"/>
    <mergeCell ref="A61:A62"/>
    <mergeCell ref="B61:B62"/>
    <mergeCell ref="D61:D62"/>
    <mergeCell ref="F61:F62"/>
    <mergeCell ref="G61:H61"/>
    <mergeCell ref="I61:I62"/>
    <mergeCell ref="E61:E62"/>
    <mergeCell ref="E72:E73"/>
    <mergeCell ref="E95:E96"/>
    <mergeCell ref="D82:G82"/>
    <mergeCell ref="F83:G83"/>
    <mergeCell ref="H83:H84"/>
    <mergeCell ref="I83:I84"/>
    <mergeCell ref="D95:D96"/>
    <mergeCell ref="I95:I96"/>
    <mergeCell ref="J95:J96"/>
    <mergeCell ref="A72:A73"/>
    <mergeCell ref="B118:B119"/>
    <mergeCell ref="D118:D119"/>
    <mergeCell ref="F118:F119"/>
    <mergeCell ref="I72:I73"/>
    <mergeCell ref="B72:B73"/>
    <mergeCell ref="D72:D73"/>
    <mergeCell ref="F72:F73"/>
    <mergeCell ref="A95:A96"/>
    <mergeCell ref="J118:J119"/>
    <mergeCell ref="B153:H153"/>
    <mergeCell ref="A154:A155"/>
    <mergeCell ref="B154:B155"/>
    <mergeCell ref="D154:D155"/>
    <mergeCell ref="F154:F155"/>
    <mergeCell ref="G154:H154"/>
    <mergeCell ref="I154:I155"/>
    <mergeCell ref="J154:J155"/>
    <mergeCell ref="C130:C131"/>
    <mergeCell ref="J198:J199"/>
    <mergeCell ref="B185:H185"/>
    <mergeCell ref="A186:A187"/>
    <mergeCell ref="B186:B187"/>
    <mergeCell ref="D186:D187"/>
    <mergeCell ref="F186:F187"/>
    <mergeCell ref="G186:H186"/>
    <mergeCell ref="E198:E199"/>
    <mergeCell ref="B197:H197"/>
    <mergeCell ref="A198:A199"/>
    <mergeCell ref="D198:D199"/>
    <mergeCell ref="F198:F199"/>
    <mergeCell ref="G198:H198"/>
    <mergeCell ref="C198:C199"/>
    <mergeCell ref="D105:G105"/>
    <mergeCell ref="F106:G106"/>
    <mergeCell ref="A151:B151"/>
    <mergeCell ref="E154:E155"/>
    <mergeCell ref="J186:J187"/>
    <mergeCell ref="I164:I165"/>
    <mergeCell ref="J164:J165"/>
    <mergeCell ref="B174:H174"/>
    <mergeCell ref="G175:H175"/>
    <mergeCell ref="I175:I176"/>
    <mergeCell ref="J175:J176"/>
    <mergeCell ref="I186:I187"/>
    <mergeCell ref="B164:B165"/>
    <mergeCell ref="D164:D165"/>
    <mergeCell ref="A28:A29"/>
    <mergeCell ref="E28:E29"/>
    <mergeCell ref="C28:C29"/>
    <mergeCell ref="B50:B51"/>
    <mergeCell ref="D50:D51"/>
    <mergeCell ref="I3:I4"/>
    <mergeCell ref="D14:G14"/>
    <mergeCell ref="C15:C16"/>
    <mergeCell ref="D15:D16"/>
    <mergeCell ref="E15:E16"/>
    <mergeCell ref="F15:G15"/>
    <mergeCell ref="H15:H16"/>
    <mergeCell ref="I15:I16"/>
    <mergeCell ref="C83:C84"/>
    <mergeCell ref="D83:D84"/>
    <mergeCell ref="E83:E84"/>
    <mergeCell ref="H3:H4"/>
    <mergeCell ref="C61:C62"/>
    <mergeCell ref="C72:C73"/>
    <mergeCell ref="B27:H27"/>
    <mergeCell ref="F50:F51"/>
    <mergeCell ref="G50:H50"/>
    <mergeCell ref="A22:B22"/>
    <mergeCell ref="H106:H107"/>
    <mergeCell ref="I106:I107"/>
    <mergeCell ref="D129:G129"/>
    <mergeCell ref="E118:E119"/>
    <mergeCell ref="I198:I199"/>
    <mergeCell ref="C142:C143"/>
    <mergeCell ref="D142:D143"/>
    <mergeCell ref="E142:E143"/>
    <mergeCell ref="F142:G142"/>
    <mergeCell ref="E186:E187"/>
    <mergeCell ref="B163:H163"/>
    <mergeCell ref="G164:H164"/>
    <mergeCell ref="C154:C155"/>
    <mergeCell ref="C164:C165"/>
    <mergeCell ref="A118:A119"/>
    <mergeCell ref="A130:B131"/>
    <mergeCell ref="H142:H143"/>
    <mergeCell ref="I142:I143"/>
    <mergeCell ref="F130:G130"/>
    <mergeCell ref="H130:H131"/>
    <mergeCell ref="I130:I131"/>
    <mergeCell ref="I118:I119"/>
    <mergeCell ref="A139:B139"/>
    <mergeCell ref="A142:B143"/>
    <mergeCell ref="A83:B84"/>
    <mergeCell ref="A92:B92"/>
    <mergeCell ref="A106:B107"/>
    <mergeCell ref="A115:B115"/>
    <mergeCell ref="C208:F208"/>
    <mergeCell ref="A175:A176"/>
    <mergeCell ref="A164:A165"/>
    <mergeCell ref="C175:C176"/>
    <mergeCell ref="C186:C187"/>
    <mergeCell ref="F164:F165"/>
    <mergeCell ref="B175:B176"/>
    <mergeCell ref="D175:D176"/>
    <mergeCell ref="F175:F176"/>
    <mergeCell ref="B198:B199"/>
    <mergeCell ref="F210:G210"/>
    <mergeCell ref="H210:H211"/>
    <mergeCell ref="I210:I211"/>
    <mergeCell ref="A210:B211"/>
    <mergeCell ref="A218:B218"/>
    <mergeCell ref="C210:C211"/>
    <mergeCell ref="D210:D211"/>
    <mergeCell ref="E210:E211"/>
  </mergeCells>
  <printOptions/>
  <pageMargins left="0.984251968503937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62">
      <selection activeCell="A72" sqref="A72:IV80"/>
    </sheetView>
  </sheetViews>
  <sheetFormatPr defaultColWidth="9.140625" defaultRowHeight="12.75"/>
  <cols>
    <col min="1" max="1" width="24.7109375" style="14" customWidth="1"/>
    <col min="2" max="3" width="14.00390625" style="14" customWidth="1"/>
    <col min="4" max="4" width="14.28125" style="14" customWidth="1"/>
    <col min="5" max="5" width="14.00390625" style="14" customWidth="1"/>
    <col min="6" max="6" width="13.140625" style="14" customWidth="1"/>
    <col min="7" max="7" width="15.00390625" style="14" customWidth="1"/>
    <col min="8" max="8" width="14.00390625" style="14" customWidth="1"/>
    <col min="9" max="16384" width="9.140625" style="14" customWidth="1"/>
  </cols>
  <sheetData>
    <row r="1" spans="2:8" ht="22.5" customHeight="1" thickBot="1">
      <c r="B1" s="15"/>
      <c r="C1" s="92" t="s">
        <v>35</v>
      </c>
      <c r="D1" s="92"/>
      <c r="E1" s="92"/>
      <c r="F1" s="92"/>
      <c r="G1" s="15"/>
      <c r="H1" s="15"/>
    </row>
    <row r="2" spans="1:8" ht="22.5" customHeight="1" thickTop="1">
      <c r="A2" s="104" t="s">
        <v>36</v>
      </c>
      <c r="B2" s="100" t="s">
        <v>0</v>
      </c>
      <c r="C2" s="100" t="s">
        <v>1</v>
      </c>
      <c r="D2" s="100" t="s">
        <v>2</v>
      </c>
      <c r="E2" s="100" t="s">
        <v>3</v>
      </c>
      <c r="F2" s="100"/>
      <c r="G2" s="100" t="s">
        <v>10</v>
      </c>
      <c r="H2" s="102" t="s">
        <v>24</v>
      </c>
    </row>
    <row r="3" spans="1:8" ht="22.5" customHeight="1" thickBot="1">
      <c r="A3" s="105"/>
      <c r="B3" s="101"/>
      <c r="C3" s="101"/>
      <c r="D3" s="101"/>
      <c r="E3" s="18" t="s">
        <v>4</v>
      </c>
      <c r="F3" s="18" t="s">
        <v>5</v>
      </c>
      <c r="G3" s="101"/>
      <c r="H3" s="103"/>
    </row>
    <row r="4" spans="1:8" ht="22.5" customHeight="1">
      <c r="A4" s="19" t="s">
        <v>37</v>
      </c>
      <c r="B4" s="20">
        <v>987362.13</v>
      </c>
      <c r="C4" s="21">
        <v>1015785.05</v>
      </c>
      <c r="D4" s="21">
        <v>965662.48</v>
      </c>
      <c r="E4" s="21">
        <v>358200</v>
      </c>
      <c r="F4" s="21">
        <v>312630.06</v>
      </c>
      <c r="G4" s="21">
        <f aca="true" t="shared" si="0" ref="G4:G11">D4-C4</f>
        <v>-50122.570000000065</v>
      </c>
      <c r="H4" s="22">
        <f aca="true" t="shared" si="1" ref="H4:H11">D4-B4</f>
        <v>-21699.650000000023</v>
      </c>
    </row>
    <row r="5" spans="1:8" ht="22.5" customHeight="1">
      <c r="A5" s="23" t="s">
        <v>38</v>
      </c>
      <c r="B5" s="24">
        <v>3056926.71</v>
      </c>
      <c r="C5" s="25">
        <v>2959631.68</v>
      </c>
      <c r="D5" s="25">
        <v>2922916.4</v>
      </c>
      <c r="E5" s="25">
        <v>667620</v>
      </c>
      <c r="F5" s="25">
        <v>598660.89</v>
      </c>
      <c r="G5" s="25">
        <f t="shared" si="0"/>
        <v>-36715.28000000026</v>
      </c>
      <c r="H5" s="26">
        <f t="shared" si="1"/>
        <v>-134010.31000000006</v>
      </c>
    </row>
    <row r="6" spans="1:8" ht="22.5" customHeight="1">
      <c r="A6" s="23" t="s">
        <v>39</v>
      </c>
      <c r="B6" s="24">
        <v>3486342.91</v>
      </c>
      <c r="C6" s="25">
        <v>3444843.2</v>
      </c>
      <c r="D6" s="25">
        <v>3416897.42</v>
      </c>
      <c r="E6" s="25">
        <v>758840</v>
      </c>
      <c r="F6" s="25">
        <v>731352.18</v>
      </c>
      <c r="G6" s="25">
        <f t="shared" si="0"/>
        <v>-27945.78000000026</v>
      </c>
      <c r="H6" s="26">
        <f t="shared" si="1"/>
        <v>-69445.49000000022</v>
      </c>
    </row>
    <row r="7" spans="1:8" ht="22.5" customHeight="1">
      <c r="A7" s="23" t="s">
        <v>40</v>
      </c>
      <c r="B7" s="24">
        <v>3920816.93</v>
      </c>
      <c r="C7" s="25">
        <v>3864536.9</v>
      </c>
      <c r="D7" s="25">
        <v>3322814.75</v>
      </c>
      <c r="E7" s="25">
        <v>854160</v>
      </c>
      <c r="F7" s="25">
        <v>484484.52</v>
      </c>
      <c r="G7" s="25">
        <f t="shared" si="0"/>
        <v>-541722.1499999999</v>
      </c>
      <c r="H7" s="26">
        <f t="shared" si="1"/>
        <v>-598002.1800000002</v>
      </c>
    </row>
    <row r="8" spans="1:8" ht="22.5" customHeight="1">
      <c r="A8" s="23" t="s">
        <v>41</v>
      </c>
      <c r="B8" s="24">
        <v>4010541.58</v>
      </c>
      <c r="C8" s="25">
        <v>3918290</v>
      </c>
      <c r="D8" s="25">
        <v>4378501.46</v>
      </c>
      <c r="E8" s="25">
        <v>847800</v>
      </c>
      <c r="F8" s="25">
        <v>1195601.06</v>
      </c>
      <c r="G8" s="25">
        <f t="shared" si="0"/>
        <v>460211.45999999996</v>
      </c>
      <c r="H8" s="26">
        <f t="shared" si="1"/>
        <v>367959.8799999999</v>
      </c>
    </row>
    <row r="9" spans="1:8" ht="22.5" customHeight="1">
      <c r="A9" s="23" t="s">
        <v>42</v>
      </c>
      <c r="B9" s="27">
        <v>4624803.51</v>
      </c>
      <c r="C9" s="28">
        <v>4555908.13</v>
      </c>
      <c r="D9" s="28">
        <v>4443950.52</v>
      </c>
      <c r="E9" s="28">
        <v>947280</v>
      </c>
      <c r="F9" s="28">
        <v>933862.74</v>
      </c>
      <c r="G9" s="28">
        <f t="shared" si="0"/>
        <v>-111957.61000000034</v>
      </c>
      <c r="H9" s="29">
        <f t="shared" si="1"/>
        <v>-180852.99000000022</v>
      </c>
    </row>
    <row r="10" spans="1:8" ht="22.5" customHeight="1">
      <c r="A10" s="30" t="s">
        <v>43</v>
      </c>
      <c r="B10" s="27">
        <f>2689758.36+386047.32+431083.79+1295132.85</f>
        <v>4802022.32</v>
      </c>
      <c r="C10" s="28">
        <f>2615929.24+378603.65+388012.3+1357379.16</f>
        <v>4739924.35</v>
      </c>
      <c r="D10" s="28">
        <f>2717796.62+430014.9+358732.2+1589753.93</f>
        <v>5096297.65</v>
      </c>
      <c r="E10" s="28">
        <f>552580+78940+51670+155010</f>
        <v>838200</v>
      </c>
      <c r="F10" s="28">
        <f>698121.62+105124.21+21434.48+439417.31</f>
        <v>1264097.6199999999</v>
      </c>
      <c r="G10" s="28">
        <f t="shared" si="0"/>
        <v>356373.30000000075</v>
      </c>
      <c r="H10" s="29">
        <f t="shared" si="1"/>
        <v>294275.3300000001</v>
      </c>
    </row>
    <row r="11" spans="1:8" ht="22.5" customHeight="1" thickBot="1">
      <c r="A11" s="31" t="s">
        <v>6</v>
      </c>
      <c r="B11" s="32">
        <f>SUM(B4:B10)</f>
        <v>24888816.09</v>
      </c>
      <c r="C11" s="33">
        <f>SUM(C4:C10)</f>
        <v>24498919.310000002</v>
      </c>
      <c r="D11" s="33">
        <f>SUM(D4:D10)</f>
        <v>24547040.68</v>
      </c>
      <c r="E11" s="33">
        <f>SUM(E4:E10)</f>
        <v>5272100</v>
      </c>
      <c r="F11" s="33">
        <f>SUM(F4:F10)</f>
        <v>5520689.07</v>
      </c>
      <c r="G11" s="33">
        <f t="shared" si="0"/>
        <v>48121.36999999732</v>
      </c>
      <c r="H11" s="34">
        <f t="shared" si="1"/>
        <v>-341775.41000000015</v>
      </c>
    </row>
    <row r="12" ht="22.5" customHeight="1" thickTop="1"/>
    <row r="13" spans="2:8" ht="22.5" customHeight="1" thickBot="1">
      <c r="B13" s="16"/>
      <c r="C13" s="92" t="s">
        <v>44</v>
      </c>
      <c r="D13" s="92"/>
      <c r="E13" s="92"/>
      <c r="F13" s="92"/>
      <c r="G13" s="35"/>
      <c r="H13" s="17"/>
    </row>
    <row r="14" spans="1:8" ht="22.5" customHeight="1" thickTop="1">
      <c r="A14" s="94" t="s">
        <v>36</v>
      </c>
      <c r="B14" s="98" t="s">
        <v>0</v>
      </c>
      <c r="C14" s="98" t="s">
        <v>1</v>
      </c>
      <c r="D14" s="98" t="s">
        <v>2</v>
      </c>
      <c r="E14" s="96" t="s">
        <v>3</v>
      </c>
      <c r="F14" s="97"/>
      <c r="G14" s="100" t="s">
        <v>10</v>
      </c>
      <c r="H14" s="102" t="s">
        <v>24</v>
      </c>
    </row>
    <row r="15" spans="1:8" ht="22.5" customHeight="1" thickBot="1">
      <c r="A15" s="95"/>
      <c r="B15" s="99"/>
      <c r="C15" s="99"/>
      <c r="D15" s="99"/>
      <c r="E15" s="18" t="s">
        <v>4</v>
      </c>
      <c r="F15" s="18" t="s">
        <v>5</v>
      </c>
      <c r="G15" s="101"/>
      <c r="H15" s="103"/>
    </row>
    <row r="16" spans="1:8" ht="22.5" customHeight="1" thickBot="1">
      <c r="A16" s="19" t="s">
        <v>37</v>
      </c>
      <c r="B16" s="36">
        <v>573059.29</v>
      </c>
      <c r="C16" s="25">
        <v>577672.88</v>
      </c>
      <c r="D16" s="25">
        <v>668538.29</v>
      </c>
      <c r="E16" s="25">
        <v>214200</v>
      </c>
      <c r="F16" s="25">
        <v>291385</v>
      </c>
      <c r="G16" s="21">
        <f aca="true" t="shared" si="2" ref="G16:G23">D16-C16</f>
        <v>90865.41000000003</v>
      </c>
      <c r="H16" s="22">
        <f aca="true" t="shared" si="3" ref="H16:H23">D16-B16</f>
        <v>95479</v>
      </c>
    </row>
    <row r="17" spans="1:8" ht="22.5" customHeight="1" thickBot="1">
      <c r="A17" s="23" t="s">
        <v>38</v>
      </c>
      <c r="B17" s="36">
        <v>1776929.55</v>
      </c>
      <c r="C17" s="25">
        <v>1695372.06</v>
      </c>
      <c r="D17" s="25">
        <v>1630479.85</v>
      </c>
      <c r="E17" s="25">
        <v>443200</v>
      </c>
      <c r="F17" s="25">
        <v>327710.69</v>
      </c>
      <c r="G17" s="21">
        <f t="shared" si="2"/>
        <v>-64892.20999999996</v>
      </c>
      <c r="H17" s="22">
        <f t="shared" si="3"/>
        <v>-146449.69999999995</v>
      </c>
    </row>
    <row r="18" spans="1:8" ht="22.5" customHeight="1" thickBot="1">
      <c r="A18" s="23" t="s">
        <v>39</v>
      </c>
      <c r="B18" s="37">
        <v>2035351.81</v>
      </c>
      <c r="C18" s="28">
        <v>1992623.02</v>
      </c>
      <c r="D18" s="28">
        <v>1991717.8</v>
      </c>
      <c r="E18" s="28">
        <v>443840</v>
      </c>
      <c r="F18" s="28">
        <v>452929.66</v>
      </c>
      <c r="G18" s="21">
        <f t="shared" si="2"/>
        <v>-905.2199999999721</v>
      </c>
      <c r="H18" s="22">
        <f t="shared" si="3"/>
        <v>-43634.01000000001</v>
      </c>
    </row>
    <row r="19" spans="1:8" ht="22.5" customHeight="1" thickBot="1">
      <c r="A19" s="23" t="s">
        <v>40</v>
      </c>
      <c r="B19" s="24">
        <v>2350175.71</v>
      </c>
      <c r="C19" s="28">
        <v>2328208.66</v>
      </c>
      <c r="D19" s="28">
        <v>2369813.53</v>
      </c>
      <c r="E19" s="28">
        <v>489360</v>
      </c>
      <c r="F19" s="28">
        <v>585411.31</v>
      </c>
      <c r="G19" s="21">
        <f t="shared" si="2"/>
        <v>41604.869999999646</v>
      </c>
      <c r="H19" s="22">
        <f t="shared" si="3"/>
        <v>19637.819999999832</v>
      </c>
    </row>
    <row r="20" spans="1:8" ht="22.5" customHeight="1" thickBot="1">
      <c r="A20" s="23" t="s">
        <v>41</v>
      </c>
      <c r="B20" s="27">
        <v>2346620.36</v>
      </c>
      <c r="C20" s="28">
        <v>2364049.75</v>
      </c>
      <c r="D20" s="28">
        <v>2409602.06</v>
      </c>
      <c r="E20" s="28">
        <v>519360</v>
      </c>
      <c r="F20" s="28">
        <v>589553.13</v>
      </c>
      <c r="G20" s="21">
        <f t="shared" si="2"/>
        <v>45552.310000000056</v>
      </c>
      <c r="H20" s="22">
        <f t="shared" si="3"/>
        <v>62981.700000000186</v>
      </c>
    </row>
    <row r="21" spans="1:8" ht="22.5" customHeight="1" thickBot="1">
      <c r="A21" s="23" t="s">
        <v>42</v>
      </c>
      <c r="B21" s="27">
        <v>2703076.13</v>
      </c>
      <c r="C21" s="28">
        <v>2621519.37</v>
      </c>
      <c r="D21" s="28">
        <v>2715802.2</v>
      </c>
      <c r="E21" s="28">
        <v>620160</v>
      </c>
      <c r="F21" s="28">
        <v>709813.41</v>
      </c>
      <c r="G21" s="21">
        <f t="shared" si="2"/>
        <v>94282.83000000007</v>
      </c>
      <c r="H21" s="22">
        <f t="shared" si="3"/>
        <v>12726.070000000298</v>
      </c>
    </row>
    <row r="22" spans="1:8" ht="22.5" customHeight="1" thickBot="1">
      <c r="A22" s="30" t="s">
        <v>43</v>
      </c>
      <c r="B22" s="27">
        <f>1576693.23+225241.89+251884.83+755654.49</f>
        <v>2809474.4400000004</v>
      </c>
      <c r="C22" s="28">
        <f>1566821.42+220672.41+212302.32+786588.28</f>
        <v>2786384.4299999997</v>
      </c>
      <c r="D22" s="28">
        <f>1479439.81+197440.89+209762.44+759209.18</f>
        <v>2645852.3200000003</v>
      </c>
      <c r="E22" s="28">
        <f>361760+51680+32340+97020</f>
        <v>542800</v>
      </c>
      <c r="F22" s="28">
        <f>300570.64+19348.33+20406.31+96477.82</f>
        <v>436803.10000000003</v>
      </c>
      <c r="G22" s="21">
        <f t="shared" si="2"/>
        <v>-140532.1099999994</v>
      </c>
      <c r="H22" s="22">
        <f t="shared" si="3"/>
        <v>-163622.1200000001</v>
      </c>
    </row>
    <row r="23" spans="1:8" ht="22.5" customHeight="1" thickBot="1">
      <c r="A23" s="31" t="s">
        <v>6</v>
      </c>
      <c r="B23" s="32">
        <f>SUM(B16:B22)</f>
        <v>14594687.290000003</v>
      </c>
      <c r="C23" s="33">
        <f>SUM(C16:C22)</f>
        <v>14365830.170000002</v>
      </c>
      <c r="D23" s="33">
        <f>SUM(D16:D22)</f>
        <v>14431806.05</v>
      </c>
      <c r="E23" s="33">
        <f>SUM(E16:E22)</f>
        <v>3272920</v>
      </c>
      <c r="F23" s="33">
        <f>SUM(F16:F22)</f>
        <v>3393606.3000000003</v>
      </c>
      <c r="G23" s="21">
        <f t="shared" si="2"/>
        <v>65975.87999999896</v>
      </c>
      <c r="H23" s="22">
        <f t="shared" si="3"/>
        <v>-162881.2400000021</v>
      </c>
    </row>
    <row r="24" ht="22.5" customHeight="1" thickTop="1"/>
    <row r="25" spans="2:8" ht="22.5" customHeight="1" thickBot="1">
      <c r="B25" s="16"/>
      <c r="C25" s="92" t="s">
        <v>45</v>
      </c>
      <c r="D25" s="92"/>
      <c r="E25" s="92"/>
      <c r="F25" s="92"/>
      <c r="G25" s="35"/>
      <c r="H25" s="17"/>
    </row>
    <row r="26" spans="1:8" ht="22.5" customHeight="1" thickTop="1">
      <c r="A26" s="94" t="s">
        <v>36</v>
      </c>
      <c r="B26" s="98" t="s">
        <v>0</v>
      </c>
      <c r="C26" s="98" t="s">
        <v>1</v>
      </c>
      <c r="D26" s="98" t="s">
        <v>2</v>
      </c>
      <c r="E26" s="96" t="s">
        <v>3</v>
      </c>
      <c r="F26" s="97"/>
      <c r="G26" s="100" t="s">
        <v>10</v>
      </c>
      <c r="H26" s="102" t="s">
        <v>24</v>
      </c>
    </row>
    <row r="27" spans="1:8" ht="22.5" customHeight="1" thickBot="1">
      <c r="A27" s="95"/>
      <c r="B27" s="99"/>
      <c r="C27" s="99"/>
      <c r="D27" s="99"/>
      <c r="E27" s="18" t="s">
        <v>4</v>
      </c>
      <c r="F27" s="18" t="s">
        <v>5</v>
      </c>
      <c r="G27" s="101"/>
      <c r="H27" s="103"/>
    </row>
    <row r="28" spans="1:8" ht="22.5" customHeight="1">
      <c r="A28" s="19" t="s">
        <v>37</v>
      </c>
      <c r="B28" s="36">
        <f>393765.2+293264.81</f>
        <v>687030.01</v>
      </c>
      <c r="C28" s="25">
        <f>398606.55+289734.68</f>
        <v>688341.23</v>
      </c>
      <c r="D28" s="25">
        <f>435109.17+341758.19</f>
        <v>776867.36</v>
      </c>
      <c r="E28" s="25">
        <f>135000+103800</f>
        <v>238800</v>
      </c>
      <c r="F28" s="25">
        <f>179061.7+151630.65</f>
        <v>330692.35</v>
      </c>
      <c r="G28" s="38">
        <f aca="true" t="shared" si="4" ref="G28:G35">D28-C28</f>
        <v>88526.13</v>
      </c>
      <c r="H28" s="39">
        <f aca="true" t="shared" si="5" ref="H28:H35">D28-B28</f>
        <v>89837.34999999998</v>
      </c>
    </row>
    <row r="29" spans="1:8" ht="22.5" customHeight="1">
      <c r="A29" s="23" t="s">
        <v>38</v>
      </c>
      <c r="B29" s="36">
        <f>1216615.89+901158.9</f>
        <v>2117774.79</v>
      </c>
      <c r="C29" s="25">
        <f>1180444.06+894200.72</f>
        <v>2074644.78</v>
      </c>
      <c r="D29" s="25">
        <f>1127085.09+797067.1</f>
        <v>1924152.19</v>
      </c>
      <c r="E29" s="25">
        <f>301060+279380</f>
        <v>580440</v>
      </c>
      <c r="F29" s="25">
        <f>209207.21+164729.56</f>
        <v>373936.77</v>
      </c>
      <c r="G29" s="38">
        <f t="shared" si="4"/>
        <v>-150492.59000000008</v>
      </c>
      <c r="H29" s="39">
        <f t="shared" si="5"/>
        <v>-193622.6000000001</v>
      </c>
    </row>
    <row r="30" spans="1:8" ht="22.5" customHeight="1">
      <c r="A30" s="23" t="s">
        <v>39</v>
      </c>
      <c r="B30" s="37">
        <f>1393196.45+1032543.71</f>
        <v>2425740.16</v>
      </c>
      <c r="C30" s="28">
        <f>1329743.5+1014000.88</f>
        <v>2343744.38</v>
      </c>
      <c r="D30" s="28">
        <f>1408805.6+1086047.8</f>
        <v>2494853.4000000004</v>
      </c>
      <c r="E30" s="28">
        <f>341470+277850</f>
        <v>619320</v>
      </c>
      <c r="F30" s="28">
        <f>382898.26+339319.35</f>
        <v>722217.61</v>
      </c>
      <c r="G30" s="38">
        <f t="shared" si="4"/>
        <v>151109.02000000048</v>
      </c>
      <c r="H30" s="39">
        <f t="shared" si="5"/>
        <v>69113.24000000022</v>
      </c>
    </row>
    <row r="31" spans="1:8" ht="22.5" customHeight="1">
      <c r="A31" s="23" t="s">
        <v>40</v>
      </c>
      <c r="B31" s="24">
        <f>1608765.6+1192567.4</f>
        <v>2801333</v>
      </c>
      <c r="C31" s="28">
        <f>1566364.76+1169005.61</f>
        <v>2735370.37</v>
      </c>
      <c r="D31" s="28">
        <f>1604274.15+1313174.86</f>
        <v>2917449.01</v>
      </c>
      <c r="E31" s="28">
        <f>395400+305880</f>
        <v>701280</v>
      </c>
      <c r="F31" s="28">
        <f>420401.56+432657.63</f>
        <v>853059.19</v>
      </c>
      <c r="G31" s="38">
        <f t="shared" si="4"/>
        <v>182078.63999999966</v>
      </c>
      <c r="H31" s="39">
        <f t="shared" si="5"/>
        <v>116116.00999999978</v>
      </c>
    </row>
    <row r="32" spans="1:8" ht="22.5" customHeight="1">
      <c r="A32" s="23" t="s">
        <v>41</v>
      </c>
      <c r="B32" s="27">
        <v>2791210.76</v>
      </c>
      <c r="C32" s="28">
        <v>2772608.04</v>
      </c>
      <c r="D32" s="28">
        <v>2892223.78</v>
      </c>
      <c r="E32" s="28">
        <v>674520</v>
      </c>
      <c r="F32" s="28">
        <v>775080.36</v>
      </c>
      <c r="G32" s="38">
        <f t="shared" si="4"/>
        <v>119615.73999999976</v>
      </c>
      <c r="H32" s="39">
        <f t="shared" si="5"/>
        <v>101013.02000000002</v>
      </c>
    </row>
    <row r="33" spans="1:8" ht="22.5" customHeight="1">
      <c r="A33" s="23" t="s">
        <v>42</v>
      </c>
      <c r="B33" s="27">
        <v>3220646.76</v>
      </c>
      <c r="C33" s="28">
        <v>3149104.55</v>
      </c>
      <c r="D33" s="28">
        <v>2747438.37</v>
      </c>
      <c r="E33" s="28">
        <v>748320</v>
      </c>
      <c r="F33" s="28">
        <v>419886.97</v>
      </c>
      <c r="G33" s="38">
        <f t="shared" si="4"/>
        <v>-401666.1799999997</v>
      </c>
      <c r="H33" s="39">
        <f t="shared" si="5"/>
        <v>-473208.38999999966</v>
      </c>
    </row>
    <row r="34" spans="1:8" ht="22.5" customHeight="1">
      <c r="A34" s="30" t="s">
        <v>43</v>
      </c>
      <c r="B34" s="40">
        <f>1878672.09+268380.81+300126.2+900378.6</f>
        <v>3347557.7</v>
      </c>
      <c r="C34" s="28">
        <f>1787348.02+262817.72+284720.69+888060.45</f>
        <v>3222946.88</v>
      </c>
      <c r="D34" s="28">
        <f>1644902.4+234776.73+251040.67+805427.04</f>
        <v>2936146.84</v>
      </c>
      <c r="E34" s="28">
        <f>436520+62360+51270+153810</f>
        <v>703960</v>
      </c>
      <c r="F34" s="28">
        <f>294928.96+22361.8+17133.06+130435.25</f>
        <v>464859.07</v>
      </c>
      <c r="G34" s="38">
        <f t="shared" si="4"/>
        <v>-286800.04000000004</v>
      </c>
      <c r="H34" s="39">
        <f t="shared" si="5"/>
        <v>-411410.86000000034</v>
      </c>
    </row>
    <row r="35" spans="1:8" ht="22.5" customHeight="1" thickBot="1">
      <c r="A35" s="31" t="s">
        <v>6</v>
      </c>
      <c r="B35" s="41">
        <f>SUM(B28:B34)</f>
        <v>17391293.18</v>
      </c>
      <c r="C35" s="33">
        <f>SUM(C28:C34)</f>
        <v>16986760.23</v>
      </c>
      <c r="D35" s="33">
        <f>SUM(D28:D34)</f>
        <v>16689130.95</v>
      </c>
      <c r="E35" s="33">
        <f>SUM(E28:E34)</f>
        <v>4266640</v>
      </c>
      <c r="F35" s="33">
        <f>SUM(F28:F34)</f>
        <v>3939732.32</v>
      </c>
      <c r="G35" s="38">
        <f t="shared" si="4"/>
        <v>-297629.2800000012</v>
      </c>
      <c r="H35" s="39">
        <f t="shared" si="5"/>
        <v>-702162.2300000004</v>
      </c>
    </row>
    <row r="36" ht="22.5" customHeight="1" thickTop="1"/>
    <row r="37" spans="2:8" ht="22.5" customHeight="1" thickBot="1">
      <c r="B37" s="16"/>
      <c r="C37" s="92" t="s">
        <v>46</v>
      </c>
      <c r="D37" s="92"/>
      <c r="E37" s="92"/>
      <c r="F37" s="92"/>
      <c r="G37" s="35"/>
      <c r="H37" s="17"/>
    </row>
    <row r="38" spans="1:8" ht="22.5" customHeight="1" thickTop="1">
      <c r="A38" s="94" t="s">
        <v>36</v>
      </c>
      <c r="B38" s="98" t="s">
        <v>0</v>
      </c>
      <c r="C38" s="98" t="s">
        <v>1</v>
      </c>
      <c r="D38" s="98" t="s">
        <v>2</v>
      </c>
      <c r="E38" s="96" t="s">
        <v>3</v>
      </c>
      <c r="F38" s="97"/>
      <c r="G38" s="100" t="s">
        <v>10</v>
      </c>
      <c r="H38" s="102" t="s">
        <v>24</v>
      </c>
    </row>
    <row r="39" spans="1:8" ht="22.5" customHeight="1" thickBot="1">
      <c r="A39" s="95"/>
      <c r="B39" s="99"/>
      <c r="C39" s="99"/>
      <c r="D39" s="99"/>
      <c r="E39" s="18" t="s">
        <v>4</v>
      </c>
      <c r="F39" s="18" t="s">
        <v>5</v>
      </c>
      <c r="G39" s="101"/>
      <c r="H39" s="103"/>
    </row>
    <row r="40" spans="1:8" ht="22.5" customHeight="1" thickBot="1">
      <c r="A40" s="19" t="s">
        <v>37</v>
      </c>
      <c r="B40" s="36">
        <v>305916.63</v>
      </c>
      <c r="C40" s="25">
        <v>309958.91</v>
      </c>
      <c r="D40" s="25">
        <v>279297.89</v>
      </c>
      <c r="E40" s="25">
        <v>111600</v>
      </c>
      <c r="F40" s="25">
        <v>85939.07</v>
      </c>
      <c r="G40" s="21">
        <f aca="true" t="shared" si="6" ref="G40:G47">D40-C40</f>
        <v>-30661.01999999996</v>
      </c>
      <c r="H40" s="22">
        <f aca="true" t="shared" si="7" ref="H40:H47">D40-B40</f>
        <v>-26618.73999999999</v>
      </c>
    </row>
    <row r="41" spans="1:8" ht="22.5" customHeight="1" thickBot="1">
      <c r="A41" s="23" t="s">
        <v>38</v>
      </c>
      <c r="B41" s="36">
        <v>941812.59</v>
      </c>
      <c r="C41" s="25">
        <v>923294.74</v>
      </c>
      <c r="D41" s="25">
        <v>888667.71</v>
      </c>
      <c r="E41" s="25">
        <v>236400</v>
      </c>
      <c r="F41" s="25">
        <v>178873.72</v>
      </c>
      <c r="G41" s="21">
        <f t="shared" si="6"/>
        <v>-34627.03000000003</v>
      </c>
      <c r="H41" s="22">
        <f t="shared" si="7"/>
        <v>-53144.880000000005</v>
      </c>
    </row>
    <row r="42" spans="1:8" ht="22.5" customHeight="1" thickBot="1">
      <c r="A42" s="23" t="s">
        <v>39</v>
      </c>
      <c r="B42" s="37">
        <v>1081234.99</v>
      </c>
      <c r="C42" s="28">
        <v>1066078.73</v>
      </c>
      <c r="D42" s="28">
        <v>1108321.07</v>
      </c>
      <c r="E42" s="28">
        <v>254490</v>
      </c>
      <c r="F42" s="28">
        <v>298304</v>
      </c>
      <c r="G42" s="21">
        <f t="shared" si="6"/>
        <v>42242.340000000084</v>
      </c>
      <c r="H42" s="22">
        <f t="shared" si="7"/>
        <v>27086.080000000075</v>
      </c>
    </row>
    <row r="43" spans="1:8" ht="22.5" customHeight="1" thickBot="1">
      <c r="A43" s="23" t="s">
        <v>40</v>
      </c>
      <c r="B43" s="24">
        <v>1248522.18</v>
      </c>
      <c r="C43" s="28">
        <v>1246304.71</v>
      </c>
      <c r="D43" s="28">
        <v>1235617.57</v>
      </c>
      <c r="E43" s="28">
        <v>285360</v>
      </c>
      <c r="F43" s="28">
        <v>294324.89</v>
      </c>
      <c r="G43" s="21">
        <f t="shared" si="6"/>
        <v>-10687.139999999898</v>
      </c>
      <c r="H43" s="22">
        <f t="shared" si="7"/>
        <v>-12904.60999999987</v>
      </c>
    </row>
    <row r="44" spans="1:8" ht="22.5" customHeight="1" thickBot="1">
      <c r="A44" s="23" t="s">
        <v>41</v>
      </c>
      <c r="B44" s="27">
        <v>1248533.28</v>
      </c>
      <c r="C44" s="28">
        <v>1259020.63</v>
      </c>
      <c r="D44" s="28">
        <v>1317102.49</v>
      </c>
      <c r="E44" s="28">
        <v>275760</v>
      </c>
      <c r="F44" s="28">
        <v>339424.53</v>
      </c>
      <c r="G44" s="21">
        <f t="shared" si="6"/>
        <v>58081.8600000001</v>
      </c>
      <c r="H44" s="22">
        <f t="shared" si="7"/>
        <v>68569.20999999996</v>
      </c>
    </row>
    <row r="45" spans="1:8" ht="22.5" customHeight="1" thickBot="1">
      <c r="A45" s="23" t="s">
        <v>42</v>
      </c>
      <c r="B45" s="27">
        <v>1435036.8</v>
      </c>
      <c r="C45" s="28">
        <v>1412612.11</v>
      </c>
      <c r="D45" s="28">
        <v>1410834.2</v>
      </c>
      <c r="E45" s="28">
        <v>268440</v>
      </c>
      <c r="F45" s="28">
        <v>289786.06</v>
      </c>
      <c r="G45" s="21">
        <f t="shared" si="6"/>
        <v>-1777.910000000149</v>
      </c>
      <c r="H45" s="22">
        <f t="shared" si="7"/>
        <v>-24202.600000000093</v>
      </c>
    </row>
    <row r="46" spans="1:8" ht="22.5" customHeight="1" thickBot="1">
      <c r="A46" s="30" t="s">
        <v>43</v>
      </c>
      <c r="B46" s="27">
        <f>830476.9+119586.4+133731.57+401194.71</f>
        <v>1484989.58</v>
      </c>
      <c r="C46" s="28">
        <f>863522.92+110105.41+109241.82+410236.77</f>
        <v>1493106.9200000002</v>
      </c>
      <c r="D46" s="28">
        <f>851060.87+128689.47+121920.99+410596.66</f>
        <v>1512267.99</v>
      </c>
      <c r="E46" s="28">
        <f>156590+22370+17280+51840</f>
        <v>248080</v>
      </c>
      <c r="F46" s="28">
        <f>185324.64+31896.79+28614.27+82998.73</f>
        <v>328834.43</v>
      </c>
      <c r="G46" s="21">
        <f t="shared" si="6"/>
        <v>19161.069999999832</v>
      </c>
      <c r="H46" s="22">
        <f t="shared" si="7"/>
        <v>27278.409999999916</v>
      </c>
    </row>
    <row r="47" spans="1:8" ht="22.5" customHeight="1" thickBot="1">
      <c r="A47" s="31" t="s">
        <v>6</v>
      </c>
      <c r="B47" s="32">
        <f>SUM(B40:B46)</f>
        <v>7746046.05</v>
      </c>
      <c r="C47" s="33">
        <f>SUM(C40:C46)</f>
        <v>7710376.75</v>
      </c>
      <c r="D47" s="33">
        <f>SUM(D40:D46)</f>
        <v>7752108.920000001</v>
      </c>
      <c r="E47" s="33">
        <f>SUM(E40:E46)</f>
        <v>1680130</v>
      </c>
      <c r="F47" s="33">
        <f>SUM(F40:F46)</f>
        <v>1815486.7</v>
      </c>
      <c r="G47" s="21">
        <f t="shared" si="6"/>
        <v>41732.17000000086</v>
      </c>
      <c r="H47" s="22">
        <f t="shared" si="7"/>
        <v>6062.870000001043</v>
      </c>
    </row>
    <row r="48" ht="22.5" customHeight="1" thickTop="1"/>
    <row r="49" spans="2:8" ht="22.5" customHeight="1" thickBot="1">
      <c r="B49" s="16"/>
      <c r="C49" s="92" t="s">
        <v>47</v>
      </c>
      <c r="D49" s="92"/>
      <c r="E49" s="92"/>
      <c r="F49" s="92"/>
      <c r="G49" s="35"/>
      <c r="H49" s="17"/>
    </row>
    <row r="50" spans="1:8" ht="22.5" customHeight="1" thickTop="1">
      <c r="A50" s="94" t="s">
        <v>36</v>
      </c>
      <c r="B50" s="98" t="s">
        <v>0</v>
      </c>
      <c r="C50" s="98" t="s">
        <v>1</v>
      </c>
      <c r="D50" s="98" t="s">
        <v>2</v>
      </c>
      <c r="E50" s="96" t="s">
        <v>3</v>
      </c>
      <c r="F50" s="97"/>
      <c r="G50" s="100" t="s">
        <v>10</v>
      </c>
      <c r="H50" s="102" t="s">
        <v>24</v>
      </c>
    </row>
    <row r="51" spans="1:8" ht="22.5" customHeight="1" thickBot="1">
      <c r="A51" s="95"/>
      <c r="B51" s="99"/>
      <c r="C51" s="99"/>
      <c r="D51" s="99"/>
      <c r="E51" s="18" t="s">
        <v>4</v>
      </c>
      <c r="F51" s="18" t="s">
        <v>5</v>
      </c>
      <c r="G51" s="101"/>
      <c r="H51" s="103"/>
    </row>
    <row r="52" spans="1:8" ht="22.5" customHeight="1" thickBot="1">
      <c r="A52" s="19" t="s">
        <v>37</v>
      </c>
      <c r="B52" s="20">
        <v>305899.27</v>
      </c>
      <c r="C52" s="21">
        <v>319638.47</v>
      </c>
      <c r="D52" s="21">
        <v>413426.74</v>
      </c>
      <c r="E52" s="21">
        <v>111600</v>
      </c>
      <c r="F52" s="21">
        <v>207178.22</v>
      </c>
      <c r="G52" s="21">
        <f aca="true" t="shared" si="8" ref="G52:G59">D52-C52</f>
        <v>93788.27000000002</v>
      </c>
      <c r="H52" s="22">
        <f aca="true" t="shared" si="9" ref="H52:H59">D52-B52</f>
        <v>107527.46999999997</v>
      </c>
    </row>
    <row r="53" spans="1:8" ht="22.5" customHeight="1" thickBot="1">
      <c r="A53" s="23" t="s">
        <v>38</v>
      </c>
      <c r="B53" s="24">
        <v>948809.16</v>
      </c>
      <c r="C53" s="25">
        <v>908833.03</v>
      </c>
      <c r="D53" s="25">
        <v>904559.54</v>
      </c>
      <c r="E53" s="25">
        <v>224940</v>
      </c>
      <c r="F53" s="25">
        <v>188146.47</v>
      </c>
      <c r="G53" s="21">
        <f t="shared" si="8"/>
        <v>-4273.489999999991</v>
      </c>
      <c r="H53" s="22">
        <f t="shared" si="9"/>
        <v>-44249.619999999995</v>
      </c>
    </row>
    <row r="54" spans="1:8" ht="22.5" customHeight="1" thickBot="1">
      <c r="A54" s="23" t="s">
        <v>39</v>
      </c>
      <c r="B54" s="24">
        <v>1082947.7</v>
      </c>
      <c r="C54" s="25">
        <v>1067663.56</v>
      </c>
      <c r="D54" s="25">
        <v>1017137.73</v>
      </c>
      <c r="E54" s="25">
        <v>252880</v>
      </c>
      <c r="F54" s="25">
        <v>215136.7</v>
      </c>
      <c r="G54" s="21">
        <f t="shared" si="8"/>
        <v>-50525.830000000075</v>
      </c>
      <c r="H54" s="22">
        <f t="shared" si="9"/>
        <v>-65809.96999999997</v>
      </c>
    </row>
    <row r="55" spans="1:8" ht="22.5" customHeight="1" thickBot="1">
      <c r="A55" s="23" t="s">
        <v>40</v>
      </c>
      <c r="B55" s="24">
        <v>1251270.12</v>
      </c>
      <c r="C55" s="25">
        <v>1185293.89</v>
      </c>
      <c r="D55" s="25">
        <v>1200443.89</v>
      </c>
      <c r="E55" s="25">
        <v>290880</v>
      </c>
      <c r="F55" s="25">
        <v>276022.45</v>
      </c>
      <c r="G55" s="21">
        <f t="shared" si="8"/>
        <v>15150</v>
      </c>
      <c r="H55" s="22">
        <f t="shared" si="9"/>
        <v>-50826.230000000214</v>
      </c>
    </row>
    <row r="56" spans="1:8" ht="22.5" customHeight="1" thickBot="1">
      <c r="A56" s="23" t="s">
        <v>41</v>
      </c>
      <c r="B56" s="24">
        <v>1243477.82</v>
      </c>
      <c r="C56" s="25">
        <v>1248328.03</v>
      </c>
      <c r="D56" s="25">
        <v>1315182.55</v>
      </c>
      <c r="E56" s="25">
        <v>284280</v>
      </c>
      <c r="F56" s="25">
        <v>340604.09</v>
      </c>
      <c r="G56" s="21">
        <f t="shared" si="8"/>
        <v>66854.52000000002</v>
      </c>
      <c r="H56" s="22">
        <f t="shared" si="9"/>
        <v>71704.72999999998</v>
      </c>
    </row>
    <row r="57" spans="1:8" ht="22.5" customHeight="1" thickBot="1">
      <c r="A57" s="23" t="s">
        <v>42</v>
      </c>
      <c r="B57" s="27">
        <v>1435050.6</v>
      </c>
      <c r="C57" s="28">
        <v>1420366.89</v>
      </c>
      <c r="D57" s="28">
        <v>1382290.66</v>
      </c>
      <c r="E57" s="28">
        <v>297960</v>
      </c>
      <c r="F57" s="28">
        <v>257910.36</v>
      </c>
      <c r="G57" s="21">
        <f t="shared" si="8"/>
        <v>-38076.22999999998</v>
      </c>
      <c r="H57" s="22">
        <f t="shared" si="9"/>
        <v>-52759.94000000018</v>
      </c>
    </row>
    <row r="58" spans="1:8" ht="22.5" customHeight="1" thickBot="1">
      <c r="A58" s="30" t="s">
        <v>43</v>
      </c>
      <c r="B58" s="27">
        <f>837112.85+119587.55+133733.07+401199.21</f>
        <v>1491632.68</v>
      </c>
      <c r="C58" s="28">
        <f>801565.34+119283.62+122276.58+416813.74</f>
        <v>1459939.2799999998</v>
      </c>
      <c r="D58" s="28">
        <f>833664.04+109288.38+143022.3+360144.78</f>
        <v>1446119.5</v>
      </c>
      <c r="E58" s="28">
        <f>173810+24830+17940+53820</f>
        <v>270400</v>
      </c>
      <c r="F58" s="28">
        <f>176264.27+10638.76+32688.41+34791.62</f>
        <v>254383.06</v>
      </c>
      <c r="G58" s="21">
        <f t="shared" si="8"/>
        <v>-13819.779999999795</v>
      </c>
      <c r="H58" s="22">
        <f t="shared" si="9"/>
        <v>-45513.179999999935</v>
      </c>
    </row>
    <row r="59" spans="1:8" ht="22.5" customHeight="1" thickBot="1">
      <c r="A59" s="31" t="s">
        <v>6</v>
      </c>
      <c r="B59" s="32">
        <f>SUM(B52:B58)</f>
        <v>7759087.35</v>
      </c>
      <c r="C59" s="33">
        <f>SUM(C52:C58)</f>
        <v>7610063.15</v>
      </c>
      <c r="D59" s="33">
        <f>SUM(D52:D58)</f>
        <v>7679160.609999999</v>
      </c>
      <c r="E59" s="33">
        <f>SUM(E52:E58)</f>
        <v>1732940</v>
      </c>
      <c r="F59" s="33">
        <f>SUM(F52:F58)</f>
        <v>1739381.35</v>
      </c>
      <c r="G59" s="21">
        <f t="shared" si="8"/>
        <v>69097.45999999903</v>
      </c>
      <c r="H59" s="22">
        <f t="shared" si="9"/>
        <v>-79926.74000000022</v>
      </c>
    </row>
    <row r="60" ht="22.5" customHeight="1" thickTop="1"/>
    <row r="61" spans="2:8" ht="22.5" customHeight="1" thickBot="1">
      <c r="B61" s="16"/>
      <c r="C61" s="92" t="s">
        <v>48</v>
      </c>
      <c r="D61" s="92"/>
      <c r="E61" s="92"/>
      <c r="F61" s="92"/>
      <c r="G61" s="35"/>
      <c r="H61" s="17"/>
    </row>
    <row r="62" spans="1:8" ht="22.5" customHeight="1" thickTop="1">
      <c r="A62" s="94" t="s">
        <v>36</v>
      </c>
      <c r="B62" s="98" t="s">
        <v>0</v>
      </c>
      <c r="C62" s="98" t="s">
        <v>1</v>
      </c>
      <c r="D62" s="98" t="s">
        <v>2</v>
      </c>
      <c r="E62" s="96" t="s">
        <v>3</v>
      </c>
      <c r="F62" s="97"/>
      <c r="G62" s="100" t="s">
        <v>10</v>
      </c>
      <c r="H62" s="102" t="s">
        <v>24</v>
      </c>
    </row>
    <row r="63" spans="1:8" ht="22.5" customHeight="1" thickBot="1">
      <c r="A63" s="95"/>
      <c r="B63" s="99"/>
      <c r="C63" s="99"/>
      <c r="D63" s="99"/>
      <c r="E63" s="18" t="s">
        <v>4</v>
      </c>
      <c r="F63" s="18" t="s">
        <v>5</v>
      </c>
      <c r="G63" s="101"/>
      <c r="H63" s="103"/>
    </row>
    <row r="64" spans="1:8" ht="22.5" customHeight="1">
      <c r="A64" s="19" t="s">
        <v>49</v>
      </c>
      <c r="B64" s="36">
        <v>867083.25</v>
      </c>
      <c r="C64" s="42">
        <v>861253.75</v>
      </c>
      <c r="D64" s="42">
        <v>978611.37</v>
      </c>
      <c r="E64" s="42">
        <v>159450</v>
      </c>
      <c r="F64" s="42">
        <v>264620.09</v>
      </c>
      <c r="G64" s="21">
        <f aca="true" t="shared" si="10" ref="G64:G70">D64-C64</f>
        <v>117357.62</v>
      </c>
      <c r="H64" s="22">
        <f aca="true" t="shared" si="11" ref="H64:H70">D64-B64</f>
        <v>111528.12</v>
      </c>
    </row>
    <row r="65" spans="1:8" ht="22.5" customHeight="1">
      <c r="A65" s="43" t="s">
        <v>39</v>
      </c>
      <c r="B65" s="44">
        <v>1084604.42</v>
      </c>
      <c r="C65" s="25">
        <v>1069245.77</v>
      </c>
      <c r="D65" s="25">
        <v>1157349.27</v>
      </c>
      <c r="E65" s="25">
        <v>167770</v>
      </c>
      <c r="F65" s="25">
        <v>245492.74</v>
      </c>
      <c r="G65" s="25">
        <f t="shared" si="10"/>
        <v>88103.5</v>
      </c>
      <c r="H65" s="26">
        <f t="shared" si="11"/>
        <v>72744.8500000001</v>
      </c>
    </row>
    <row r="66" spans="1:8" ht="22.5" customHeight="1">
      <c r="A66" s="43" t="s">
        <v>40</v>
      </c>
      <c r="B66" s="45">
        <v>1246117.91</v>
      </c>
      <c r="C66" s="28">
        <v>1210170.78</v>
      </c>
      <c r="D66" s="28">
        <v>1186369.12</v>
      </c>
      <c r="E66" s="28">
        <v>201000</v>
      </c>
      <c r="F66" s="28">
        <v>151745.35</v>
      </c>
      <c r="G66" s="25">
        <f t="shared" si="10"/>
        <v>-23801.659999999916</v>
      </c>
      <c r="H66" s="26">
        <f t="shared" si="11"/>
        <v>-59748.789999999804</v>
      </c>
    </row>
    <row r="67" spans="1:8" ht="22.5" customHeight="1">
      <c r="A67" s="23" t="s">
        <v>41</v>
      </c>
      <c r="B67" s="45">
        <v>1252260.86</v>
      </c>
      <c r="C67" s="45">
        <v>1268076.92</v>
      </c>
      <c r="D67" s="45">
        <v>1248049.09</v>
      </c>
      <c r="E67" s="45">
        <v>191040</v>
      </c>
      <c r="F67" s="45">
        <v>195484.69</v>
      </c>
      <c r="G67" s="25">
        <f t="shared" si="10"/>
        <v>-20027.82999999984</v>
      </c>
      <c r="H67" s="26">
        <f t="shared" si="11"/>
        <v>-4211.770000000019</v>
      </c>
    </row>
    <row r="68" spans="1:8" ht="22.5" customHeight="1">
      <c r="A68" s="23" t="s">
        <v>42</v>
      </c>
      <c r="B68" s="45">
        <v>1434282.51</v>
      </c>
      <c r="C68" s="45">
        <v>1370357.88</v>
      </c>
      <c r="D68" s="45">
        <v>1283238.58</v>
      </c>
      <c r="E68" s="45">
        <v>228960</v>
      </c>
      <c r="F68" s="45">
        <v>152666.33</v>
      </c>
      <c r="G68" s="25">
        <f t="shared" si="10"/>
        <v>-87119.29999999981</v>
      </c>
      <c r="H68" s="26">
        <f t="shared" si="11"/>
        <v>-151043.92999999993</v>
      </c>
    </row>
    <row r="69" spans="1:8" ht="22.5" customHeight="1">
      <c r="A69" s="23" t="s">
        <v>43</v>
      </c>
      <c r="B69" s="45">
        <f>836987.62+119569.66+133712.93+401138.79</f>
        <v>1491409</v>
      </c>
      <c r="C69" s="45">
        <f>837287.23+108938.9+122047.37+445939.06</f>
        <v>1514212.56</v>
      </c>
      <c r="D69" s="45">
        <f>815849.09+111924.9+187540.62+400785.24</f>
        <v>1516099.8499999999</v>
      </c>
      <c r="E69" s="45">
        <f>133560+19080+16320+48960</f>
        <v>217920</v>
      </c>
      <c r="F69" s="45">
        <f>142934.9+12871.62+74404.53+40276.98</f>
        <v>270488.02999999997</v>
      </c>
      <c r="G69" s="25">
        <f t="shared" si="10"/>
        <v>1887.2899999998044</v>
      </c>
      <c r="H69" s="26">
        <f t="shared" si="11"/>
        <v>24690.84999999986</v>
      </c>
    </row>
    <row r="70" spans="1:8" ht="22.5" customHeight="1" thickBot="1">
      <c r="A70" s="46" t="s">
        <v>6</v>
      </c>
      <c r="B70" s="47">
        <f>SUM(B64:B69)</f>
        <v>7375757.95</v>
      </c>
      <c r="C70" s="47">
        <f>SUM(C64:C69)</f>
        <v>7293317.66</v>
      </c>
      <c r="D70" s="47">
        <f>SUM(D64:D69)</f>
        <v>7369717.28</v>
      </c>
      <c r="E70" s="47">
        <f>SUM(E64:E69)</f>
        <v>1166140</v>
      </c>
      <c r="F70" s="47">
        <f>SUM(F64:F69)</f>
        <v>1280497.23</v>
      </c>
      <c r="G70" s="33">
        <f t="shared" si="10"/>
        <v>76399.62000000011</v>
      </c>
      <c r="H70" s="34">
        <f t="shared" si="11"/>
        <v>-6040.6699999999255</v>
      </c>
    </row>
    <row r="71" ht="22.5" customHeight="1" thickTop="1"/>
    <row r="72" spans="2:8" ht="22.5" customHeight="1" thickBot="1">
      <c r="B72" s="16"/>
      <c r="C72" s="92" t="s">
        <v>50</v>
      </c>
      <c r="D72" s="92"/>
      <c r="E72" s="92"/>
      <c r="F72" s="92"/>
      <c r="G72" s="35"/>
      <c r="H72" s="17"/>
    </row>
    <row r="73" spans="1:8" ht="22.5" customHeight="1" thickTop="1">
      <c r="A73" s="94" t="s">
        <v>36</v>
      </c>
      <c r="B73" s="98" t="s">
        <v>0</v>
      </c>
      <c r="C73" s="98" t="s">
        <v>1</v>
      </c>
      <c r="D73" s="98" t="s">
        <v>2</v>
      </c>
      <c r="E73" s="96" t="s">
        <v>3</v>
      </c>
      <c r="F73" s="97"/>
      <c r="G73" s="100" t="s">
        <v>10</v>
      </c>
      <c r="H73" s="102" t="s">
        <v>24</v>
      </c>
    </row>
    <row r="74" spans="1:8" ht="22.5" customHeight="1" thickBot="1">
      <c r="A74" s="95"/>
      <c r="B74" s="99"/>
      <c r="C74" s="99"/>
      <c r="D74" s="99"/>
      <c r="E74" s="18" t="s">
        <v>4</v>
      </c>
      <c r="F74" s="18" t="s">
        <v>5</v>
      </c>
      <c r="G74" s="101"/>
      <c r="H74" s="103"/>
    </row>
    <row r="75" spans="1:8" ht="22.5" customHeight="1">
      <c r="A75" s="43" t="s">
        <v>51</v>
      </c>
      <c r="B75" s="44">
        <v>1907334.44</v>
      </c>
      <c r="C75" s="25">
        <v>1907010.24</v>
      </c>
      <c r="D75" s="25">
        <v>2028789.97</v>
      </c>
      <c r="E75" s="25">
        <v>291610</v>
      </c>
      <c r="F75" s="25">
        <v>465172.65</v>
      </c>
      <c r="G75" s="21">
        <f aca="true" t="shared" si="12" ref="G75:G80">D75-C75</f>
        <v>121779.72999999998</v>
      </c>
      <c r="H75" s="22">
        <f aca="true" t="shared" si="13" ref="H75:H80">D75-B75</f>
        <v>121455.53000000003</v>
      </c>
    </row>
    <row r="76" spans="1:8" ht="22.5" customHeight="1">
      <c r="A76" s="43" t="s">
        <v>40</v>
      </c>
      <c r="B76" s="45">
        <v>2383893.26</v>
      </c>
      <c r="C76" s="28">
        <v>2343541.31</v>
      </c>
      <c r="D76" s="28">
        <v>2241482.94</v>
      </c>
      <c r="E76" s="28">
        <v>358200</v>
      </c>
      <c r="F76" s="28">
        <v>337293.87</v>
      </c>
      <c r="G76" s="25">
        <f t="shared" si="12"/>
        <v>-102058.37000000011</v>
      </c>
      <c r="H76" s="26">
        <f t="shared" si="13"/>
        <v>-142410.31999999983</v>
      </c>
    </row>
    <row r="77" spans="1:8" ht="22.5" customHeight="1">
      <c r="A77" s="23" t="s">
        <v>41</v>
      </c>
      <c r="B77" s="45">
        <v>2382437.43</v>
      </c>
      <c r="C77" s="28">
        <v>2343615.61</v>
      </c>
      <c r="D77" s="28">
        <v>2315348.43</v>
      </c>
      <c r="E77" s="28">
        <v>438960</v>
      </c>
      <c r="F77" s="28">
        <v>426629.03</v>
      </c>
      <c r="G77" s="48">
        <f t="shared" si="12"/>
        <v>-28267.179999999702</v>
      </c>
      <c r="H77" s="26">
        <f t="shared" si="13"/>
        <v>-67089</v>
      </c>
    </row>
    <row r="78" spans="1:8" ht="22.5" customHeight="1">
      <c r="A78" s="23" t="s">
        <v>42</v>
      </c>
      <c r="B78" s="45">
        <v>2744455.92</v>
      </c>
      <c r="C78" s="45">
        <v>2720992.7</v>
      </c>
      <c r="D78" s="45">
        <v>2511732.05</v>
      </c>
      <c r="E78" s="45">
        <v>509160</v>
      </c>
      <c r="F78" s="45">
        <v>361121.18</v>
      </c>
      <c r="G78" s="48">
        <f t="shared" si="12"/>
        <v>-209260.65000000037</v>
      </c>
      <c r="H78" s="26">
        <f t="shared" si="13"/>
        <v>-232723.8700000001</v>
      </c>
    </row>
    <row r="79" spans="1:8" ht="22.5" customHeight="1">
      <c r="A79" s="23" t="s">
        <v>43</v>
      </c>
      <c r="B79" s="45">
        <f>1601684.56+228812.08+255811.71+767435.13</f>
        <v>2853743.48</v>
      </c>
      <c r="C79" s="45">
        <f>1557647.36+239875.39+244623.47+773860.26</f>
        <v>2816006.48</v>
      </c>
      <c r="D79" s="45">
        <f>1621391.06+287645.02+213120.21+836742.86</f>
        <v>2958899.15</v>
      </c>
      <c r="E79" s="45">
        <f>297010+42430+32740+98220</f>
        <v>470400</v>
      </c>
      <c r="F79" s="45">
        <f>352282.42+93757.59+11615.27+191220.48</f>
        <v>648875.76</v>
      </c>
      <c r="G79" s="49">
        <f t="shared" si="12"/>
        <v>142892.66999999993</v>
      </c>
      <c r="H79" s="29">
        <f t="shared" si="13"/>
        <v>105155.66999999993</v>
      </c>
    </row>
    <row r="80" spans="1:8" ht="22.5" customHeight="1" thickBot="1">
      <c r="A80" s="46" t="s">
        <v>6</v>
      </c>
      <c r="B80" s="47">
        <f>SUM(B75:B79)</f>
        <v>12271864.53</v>
      </c>
      <c r="C80" s="47">
        <f>SUM(C75:C79)</f>
        <v>12131166.34</v>
      </c>
      <c r="D80" s="47">
        <f>SUM(D75:D79)</f>
        <v>12056252.540000001</v>
      </c>
      <c r="E80" s="47">
        <f>SUM(E75:E79)</f>
        <v>2068330</v>
      </c>
      <c r="F80" s="47">
        <f>SUM(F75:F79)</f>
        <v>2239092.49</v>
      </c>
      <c r="G80" s="33">
        <f t="shared" si="12"/>
        <v>-74913.79999999888</v>
      </c>
      <c r="H80" s="34">
        <f t="shared" si="13"/>
        <v>-215611.98999999836</v>
      </c>
    </row>
    <row r="81" ht="22.5" customHeight="1" thickTop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</sheetData>
  <mergeCells count="56">
    <mergeCell ref="H73:H74"/>
    <mergeCell ref="G73:G74"/>
    <mergeCell ref="A73:A74"/>
    <mergeCell ref="B73:B74"/>
    <mergeCell ref="C73:C74"/>
    <mergeCell ref="D73:D74"/>
    <mergeCell ref="E73:F73"/>
    <mergeCell ref="H62:H63"/>
    <mergeCell ref="G62:G63"/>
    <mergeCell ref="C72:F72"/>
    <mergeCell ref="E62:F62"/>
    <mergeCell ref="C61:F61"/>
    <mergeCell ref="E2:F2"/>
    <mergeCell ref="A62:A63"/>
    <mergeCell ref="B62:B63"/>
    <mergeCell ref="C62:C63"/>
    <mergeCell ref="D62:D63"/>
    <mergeCell ref="A2:A3"/>
    <mergeCell ref="B2:B3"/>
    <mergeCell ref="C2:C3"/>
    <mergeCell ref="D2:D3"/>
    <mergeCell ref="A50:A51"/>
    <mergeCell ref="H26:H27"/>
    <mergeCell ref="G26:G27"/>
    <mergeCell ref="D26:D27"/>
    <mergeCell ref="C49:F49"/>
    <mergeCell ref="B50:B51"/>
    <mergeCell ref="C50:C51"/>
    <mergeCell ref="D50:D51"/>
    <mergeCell ref="E50:F50"/>
    <mergeCell ref="H38:H39"/>
    <mergeCell ref="H50:H51"/>
    <mergeCell ref="G38:G39"/>
    <mergeCell ref="G50:G51"/>
    <mergeCell ref="H2:H3"/>
    <mergeCell ref="C1:F1"/>
    <mergeCell ref="G14:G15"/>
    <mergeCell ref="C25:F25"/>
    <mergeCell ref="H14:H15"/>
    <mergeCell ref="C14:C15"/>
    <mergeCell ref="D14:D15"/>
    <mergeCell ref="G2:G3"/>
    <mergeCell ref="A14:A15"/>
    <mergeCell ref="E14:F14"/>
    <mergeCell ref="C13:F13"/>
    <mergeCell ref="B14:B15"/>
    <mergeCell ref="A26:A27"/>
    <mergeCell ref="E26:F26"/>
    <mergeCell ref="A38:A39"/>
    <mergeCell ref="B38:B39"/>
    <mergeCell ref="C38:C39"/>
    <mergeCell ref="D38:D39"/>
    <mergeCell ref="E38:F38"/>
    <mergeCell ref="C37:F37"/>
    <mergeCell ref="B26:B27"/>
    <mergeCell ref="C26:C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2013-02-12T12:11:02Z</cp:lastPrinted>
  <dcterms:created xsi:type="dcterms:W3CDTF">1996-10-08T23:32:33Z</dcterms:created>
  <dcterms:modified xsi:type="dcterms:W3CDTF">2013-02-28T05:52:54Z</dcterms:modified>
  <cp:category/>
  <cp:version/>
  <cp:contentType/>
  <cp:contentStatus/>
</cp:coreProperties>
</file>